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A8F29536-199B-44F6-BBDF-42BCF9E32CBD}" xr6:coauthVersionLast="41" xr6:coauthVersionMax="41" xr10:uidLastSave="{00000000-0000-0000-0000-000000000000}"/>
  <bookViews>
    <workbookView xWindow="2496" yWindow="312" windowWidth="17280" windowHeight="11208" xr2:uid="{00000000-000D-0000-FFFF-FFFF00000000}"/>
  </bookViews>
  <sheets>
    <sheet name="Introduction" sheetId="6" r:id="rId1"/>
    <sheet name="VSP 8608 Chassis" sheetId="17" r:id="rId2"/>
    <sheet name="Optics and DACs" sheetId="12" r:id="rId3"/>
    <sheet name="Board Power" sheetId="15" r:id="rId4"/>
  </sheets>
  <definedNames>
    <definedName name="OLE_LINK1" localSheetId="0">Introduction!$C$3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2" i="17" l="1"/>
  <c r="J82" i="17"/>
  <c r="I82" i="17"/>
  <c r="H82" i="17"/>
  <c r="K81" i="17"/>
  <c r="J81" i="17"/>
  <c r="I81" i="17"/>
  <c r="H81" i="17"/>
  <c r="K91" i="17" l="1"/>
  <c r="K90" i="17"/>
  <c r="G30" i="12" l="1"/>
  <c r="H30" i="12" s="1"/>
  <c r="G29" i="12"/>
  <c r="H29" i="12" s="1"/>
  <c r="R44" i="17" l="1"/>
  <c r="Q44" i="17"/>
  <c r="P44" i="17"/>
  <c r="O44" i="17"/>
  <c r="K44" i="17"/>
  <c r="J44" i="17"/>
  <c r="I44" i="17"/>
  <c r="H44" i="17"/>
  <c r="B12" i="15"/>
  <c r="F4" i="15" l="1"/>
  <c r="B4" i="15" s="1"/>
  <c r="E4" i="15" s="1"/>
  <c r="F8" i="15"/>
  <c r="B8" i="15" s="1"/>
  <c r="E8" i="15" s="1"/>
  <c r="F7" i="15"/>
  <c r="B7" i="15" s="1"/>
  <c r="E7" i="15" s="1"/>
  <c r="F6" i="15"/>
  <c r="B6" i="15" s="1"/>
  <c r="E6" i="15" s="1"/>
  <c r="F5" i="15"/>
  <c r="B5" i="15" s="1"/>
  <c r="E5" i="15" s="1"/>
  <c r="R71" i="17" l="1"/>
  <c r="Q71" i="17"/>
  <c r="P71" i="17"/>
  <c r="O71" i="17"/>
  <c r="R70" i="17"/>
  <c r="Q70" i="17"/>
  <c r="P70" i="17"/>
  <c r="O70" i="17"/>
  <c r="K71" i="17"/>
  <c r="J71" i="17"/>
  <c r="I71" i="17"/>
  <c r="K70" i="17"/>
  <c r="J70" i="17"/>
  <c r="I70" i="17"/>
  <c r="H71" i="17"/>
  <c r="H70" i="17"/>
  <c r="R62" i="17"/>
  <c r="Q62" i="17"/>
  <c r="P62" i="17"/>
  <c r="O62" i="17"/>
  <c r="R61" i="17"/>
  <c r="Q61" i="17"/>
  <c r="P61" i="17"/>
  <c r="O61" i="17"/>
  <c r="K62" i="17"/>
  <c r="J62" i="17"/>
  <c r="K61" i="17"/>
  <c r="J61" i="17"/>
  <c r="I62" i="17"/>
  <c r="I61" i="17"/>
  <c r="H61" i="17"/>
  <c r="H62" i="17"/>
  <c r="O81" i="17" l="1"/>
  <c r="R91" i="17"/>
  <c r="Q91" i="17"/>
  <c r="P91" i="17"/>
  <c r="O91" i="17"/>
  <c r="R90" i="17"/>
  <c r="Q90" i="17"/>
  <c r="P90" i="17"/>
  <c r="O90" i="17"/>
  <c r="J91" i="17"/>
  <c r="I91" i="17"/>
  <c r="H91" i="17"/>
  <c r="J90" i="17"/>
  <c r="I90" i="17"/>
  <c r="H90" i="17"/>
  <c r="A15" i="15" l="1"/>
  <c r="B15" i="15" s="1"/>
  <c r="L9" i="15"/>
  <c r="M5" i="15"/>
  <c r="N15" i="17" l="1"/>
  <c r="L15" i="17"/>
  <c r="J15" i="17"/>
  <c r="H15" i="17"/>
  <c r="AW50" i="17" l="1"/>
  <c r="AW49" i="17"/>
  <c r="AW48" i="17"/>
  <c r="AW53" i="17" s="1"/>
  <c r="J25" i="15"/>
  <c r="J30" i="15"/>
  <c r="E29" i="15"/>
  <c r="AZ55" i="17" l="1"/>
  <c r="AZ56" i="17"/>
  <c r="AZ53" i="17"/>
  <c r="AX53" i="17"/>
  <c r="AZ54" i="17"/>
  <c r="AY53" i="17"/>
  <c r="AY54" i="17"/>
  <c r="AY55" i="17"/>
  <c r="AY56" i="17"/>
  <c r="F20" i="15"/>
  <c r="I20" i="15" s="1"/>
  <c r="AY50" i="17" s="1"/>
  <c r="F19" i="15"/>
  <c r="F18" i="15"/>
  <c r="I18" i="15" s="1"/>
  <c r="AY48" i="17" s="1"/>
  <c r="C18" i="15"/>
  <c r="G18" i="15" s="1"/>
  <c r="AX48" i="17" s="1"/>
  <c r="D20" i="15"/>
  <c r="H20" i="15" s="1"/>
  <c r="D19" i="15"/>
  <c r="H19" i="15" s="1"/>
  <c r="D18" i="15"/>
  <c r="H18" i="15" s="1"/>
  <c r="C20" i="15"/>
  <c r="G20" i="15" s="1"/>
  <c r="AX50" i="17" s="1"/>
  <c r="C19" i="15"/>
  <c r="G19" i="15" s="1"/>
  <c r="AX49" i="17" s="1"/>
  <c r="AX54" i="17" l="1"/>
  <c r="AW54" i="17"/>
  <c r="L107" i="17" s="1"/>
  <c r="J19" i="15"/>
  <c r="AZ49" i="17" s="1"/>
  <c r="AX55" i="17"/>
  <c r="J18" i="15"/>
  <c r="AZ48" i="17" s="1"/>
  <c r="I19" i="15"/>
  <c r="AY49" i="17" s="1"/>
  <c r="AW55" i="17" s="1"/>
  <c r="J20" i="15"/>
  <c r="AZ50" i="17" s="1"/>
  <c r="P100" i="17"/>
  <c r="L100" i="17"/>
  <c r="R82" i="17"/>
  <c r="Q82" i="17"/>
  <c r="P82" i="17"/>
  <c r="O82" i="17"/>
  <c r="R81" i="17"/>
  <c r="Q81" i="17"/>
  <c r="P81" i="17"/>
  <c r="R45" i="17"/>
  <c r="Q45" i="17"/>
  <c r="P45" i="17"/>
  <c r="O45" i="17"/>
  <c r="K45" i="17"/>
  <c r="J45" i="17"/>
  <c r="I45" i="17"/>
  <c r="H45" i="17"/>
  <c r="L19" i="17"/>
  <c r="L95" i="17" s="1"/>
  <c r="R27" i="17"/>
  <c r="Q27" i="17"/>
  <c r="P27" i="17"/>
  <c r="O27" i="17"/>
  <c r="K27" i="17"/>
  <c r="J27" i="17"/>
  <c r="I27" i="17"/>
  <c r="H27" i="17"/>
  <c r="G26" i="17"/>
  <c r="G25" i="17"/>
  <c r="G24" i="17"/>
  <c r="N18" i="17"/>
  <c r="N94" i="17" s="1"/>
  <c r="M18" i="17"/>
  <c r="M94" i="17" s="1"/>
  <c r="L18" i="17"/>
  <c r="L94" i="17" s="1"/>
  <c r="R12" i="17"/>
  <c r="Q12" i="17"/>
  <c r="P12" i="17"/>
  <c r="O12" i="17"/>
  <c r="N12" i="17"/>
  <c r="M12" i="17"/>
  <c r="L12" i="17"/>
  <c r="K12" i="17"/>
  <c r="J12" i="17"/>
  <c r="I12" i="17"/>
  <c r="H12" i="17"/>
  <c r="L114" i="17" l="1"/>
  <c r="P107" i="17"/>
  <c r="P114" i="17"/>
  <c r="AX56" i="17"/>
  <c r="AW56" i="17"/>
  <c r="M19" i="17"/>
  <c r="M95" i="17" s="1"/>
  <c r="R28" i="17"/>
  <c r="N19" i="17"/>
  <c r="N95" i="17" s="1"/>
  <c r="O28" i="17"/>
  <c r="J28" i="17"/>
  <c r="K28" i="17"/>
  <c r="I28" i="17"/>
  <c r="P28" i="17"/>
  <c r="Q28" i="17"/>
  <c r="H28" i="17"/>
  <c r="L121" i="17" l="1"/>
  <c r="P121" i="17"/>
  <c r="B34" i="12"/>
  <c r="B28" i="12"/>
  <c r="B15" i="12"/>
  <c r="K18" i="17" l="1"/>
  <c r="K94" i="17" s="1"/>
  <c r="R18" i="17"/>
  <c r="R94" i="17" s="1"/>
  <c r="J18" i="17"/>
  <c r="J94" i="17" s="1"/>
  <c r="P18" i="17"/>
  <c r="P94" i="17" s="1"/>
  <c r="O18" i="17"/>
  <c r="O94" i="17" s="1"/>
  <c r="I18" i="17"/>
  <c r="I94" i="17" s="1"/>
  <c r="AX34" i="17" l="1"/>
  <c r="I19" i="17" s="1"/>
  <c r="I95" i="17" s="1"/>
  <c r="Q18" i="17"/>
  <c r="Q94" i="17" s="1"/>
  <c r="H18" i="17"/>
  <c r="H94" i="17" s="1"/>
  <c r="J19" i="17"/>
  <c r="J95" i="17" s="1"/>
  <c r="AX33" i="17"/>
  <c r="O19" i="17" s="1"/>
  <c r="O95" i="17" s="1"/>
  <c r="AX36" i="17"/>
  <c r="K19" i="17" s="1"/>
  <c r="K95" i="17" s="1"/>
  <c r="P19" i="17" l="1"/>
  <c r="P95" i="17" s="1"/>
  <c r="R19" i="17"/>
  <c r="R95" i="17" s="1"/>
  <c r="L116" i="17"/>
  <c r="L102" i="17"/>
  <c r="L123" i="17"/>
  <c r="L109" i="17"/>
  <c r="Q19" i="17"/>
  <c r="Q95" i="17" s="1"/>
  <c r="H19" i="17"/>
  <c r="H95" i="17" s="1"/>
  <c r="L111" i="17" l="1"/>
  <c r="Y109" i="17"/>
  <c r="L125" i="17"/>
  <c r="Y123" i="17"/>
  <c r="L104" i="17"/>
  <c r="Y102" i="17"/>
  <c r="L118" i="17"/>
  <c r="Y116" i="17"/>
  <c r="P116" i="17"/>
  <c r="P109" i="17"/>
  <c r="P123" i="17"/>
  <c r="P102" i="17"/>
  <c r="P125" i="17" l="1"/>
  <c r="AC123" i="17"/>
  <c r="P111" i="17"/>
  <c r="AC109" i="17"/>
  <c r="P118" i="17"/>
  <c r="AC116" i="17"/>
  <c r="P104" i="17"/>
  <c r="AC102" i="17"/>
</calcChain>
</file>

<file path=xl/sharedStrings.xml><?xml version="1.0" encoding="utf-8"?>
<sst xmlns="http://schemas.openxmlformats.org/spreadsheetml/2006/main" count="659" uniqueCount="351">
  <si>
    <t>Watts</t>
  </si>
  <si>
    <t>SF1</t>
  </si>
  <si>
    <t>SF2</t>
  </si>
  <si>
    <t>SF3</t>
  </si>
  <si>
    <t>IO3</t>
  </si>
  <si>
    <t>IO4</t>
  </si>
  <si>
    <t>IO5</t>
  </si>
  <si>
    <t>IO6</t>
  </si>
  <si>
    <t>IO7</t>
  </si>
  <si>
    <t>IO8</t>
  </si>
  <si>
    <t>N/A</t>
  </si>
  <si>
    <t>Open</t>
  </si>
  <si>
    <t>PART NUMBER</t>
  </si>
  <si>
    <t>SF MODULE</t>
  </si>
  <si>
    <t>POWER SUPPLY</t>
  </si>
  <si>
    <t>I/O MODULE</t>
  </si>
  <si>
    <t>-----</t>
  </si>
  <si>
    <t>IO1</t>
  </si>
  <si>
    <t>IO2</t>
  </si>
  <si>
    <t>Max Watts</t>
  </si>
  <si>
    <t>Typ Watts</t>
  </si>
  <si>
    <t>DAC</t>
  </si>
  <si>
    <t>Max</t>
  </si>
  <si>
    <t>Typ</t>
  </si>
  <si>
    <t>Switch Fabric</t>
  </si>
  <si>
    <t>24 port 1/10G SFP+</t>
  </si>
  <si>
    <t>24 port 100M/1G/10G Copper</t>
  </si>
  <si>
    <t>16 port 40G QSFP+</t>
  </si>
  <si>
    <t>6 port 100G QSFP28</t>
  </si>
  <si>
    <t>DESCRIPTION</t>
  </si>
  <si>
    <t>DAC, BoC</t>
  </si>
  <si>
    <t>Maximum rated and expected typical power dissipation by transceiver type</t>
  </si>
  <si>
    <t>PEC</t>
  </si>
  <si>
    <t>Transceiver</t>
  </si>
  <si>
    <t>Fiber Type</t>
  </si>
  <si>
    <t>Range</t>
  </si>
  <si>
    <t>Wavelength</t>
  </si>
  <si>
    <t>Max power</t>
  </si>
  <si>
    <t>typical power</t>
  </si>
  <si>
    <t>data source</t>
  </si>
  <si>
    <t>AA1419074</t>
  </si>
  <si>
    <t>100FX</t>
  </si>
  <si>
    <t>MMF</t>
  </si>
  <si>
    <t>1310 nm</t>
  </si>
  <si>
    <t>mfr</t>
  </si>
  <si>
    <t>AA1419043</t>
  </si>
  <si>
    <t>1000BASE-T</t>
  </si>
  <si>
    <t>100 m</t>
  </si>
  <si>
    <t>AA1419048</t>
  </si>
  <si>
    <t>1000BASE-SX</t>
  </si>
  <si>
    <t>500 m</t>
  </si>
  <si>
    <t>850 nm</t>
  </si>
  <si>
    <t>AA1419049</t>
  </si>
  <si>
    <t>1000BASE-LX</t>
  </si>
  <si>
    <t>SMF</t>
  </si>
  <si>
    <t>10 km</t>
  </si>
  <si>
    <t>AA1419065*</t>
  </si>
  <si>
    <t>1000BASE-ZX (CWDM)</t>
  </si>
  <si>
    <t>70 km</t>
  </si>
  <si>
    <t>1550 nm</t>
  </si>
  <si>
    <t>AA1419069</t>
  </si>
  <si>
    <t>1000BASE-BX10U</t>
  </si>
  <si>
    <t>est</t>
  </si>
  <si>
    <t>AA1419070</t>
  </si>
  <si>
    <t>1000BASE-BX10D</t>
  </si>
  <si>
    <t>1490 nm</t>
  </si>
  <si>
    <t>AA1419076</t>
  </si>
  <si>
    <t>40 km</t>
  </si>
  <si>
    <t>1300 nm</t>
  </si>
  <si>
    <t>AA1419077</t>
  </si>
  <si>
    <t>AA1419071</t>
  </si>
  <si>
    <t>1000BASE-EZX</t>
  </si>
  <si>
    <t>* only available ZX device</t>
  </si>
  <si>
    <t>10 Gigabit Types</t>
  </si>
  <si>
    <t>estimated typ power</t>
  </si>
  <si>
    <t>Notes</t>
  </si>
  <si>
    <t>10GBASE-SR</t>
  </si>
  <si>
    <t>300/400m</t>
  </si>
  <si>
    <t>10GBASE-LRM</t>
  </si>
  <si>
    <t>220m</t>
  </si>
  <si>
    <t>10GBASE-LR/LW</t>
  </si>
  <si>
    <t>10GBASE-ER/EW</t>
  </si>
  <si>
    <t>TEC</t>
  </si>
  <si>
    <t>10GBASE-ZR/ZW</t>
  </si>
  <si>
    <t>80 km</t>
  </si>
  <si>
    <t>mfr DVT</t>
  </si>
  <si>
    <t>AA1403153 ~ 160</t>
  </si>
  <si>
    <t>10G CWDM 40 km</t>
  </si>
  <si>
    <t>TEC, @ 85C</t>
  </si>
  <si>
    <t>AA1403161 ~ 168</t>
  </si>
  <si>
    <t>10G CWDM 70 km</t>
  </si>
  <si>
    <t>AA1403169</t>
  </si>
  <si>
    <t>10G Bi-di</t>
  </si>
  <si>
    <t>1270 / 1330</t>
  </si>
  <si>
    <t>AA1403170</t>
  </si>
  <si>
    <t>1330 / 1270</t>
  </si>
  <si>
    <t>25 Gigabit Types</t>
  </si>
  <si>
    <t>25GBASE-SR</t>
  </si>
  <si>
    <t>70m/100m</t>
  </si>
  <si>
    <t>25GBASE-LR</t>
  </si>
  <si>
    <t>AA1404005</t>
  </si>
  <si>
    <t>40GBASE-SR4 4x10GBASE-SR</t>
  </si>
  <si>
    <t>MMF OM3/OM4</t>
  </si>
  <si>
    <t>100 m / 150 m</t>
  </si>
  <si>
    <t>est.</t>
  </si>
  <si>
    <t>varies with VMA_out</t>
  </si>
  <si>
    <t>AA1404001</t>
  </si>
  <si>
    <t>40GBASE-LR4</t>
  </si>
  <si>
    <t>1271 - 1331 nm</t>
  </si>
  <si>
    <t>AA1404002</t>
  </si>
  <si>
    <t>40G LM4</t>
  </si>
  <si>
    <t>80 m</t>
  </si>
  <si>
    <t>AA1404003</t>
  </si>
  <si>
    <t>40GBASE-ER4</t>
  </si>
  <si>
    <t>30 / 40 km</t>
  </si>
  <si>
    <t>1272 - 1331 nm</t>
  </si>
  <si>
    <t>AA1405001</t>
  </si>
  <si>
    <t>100GBASE-LR4</t>
  </si>
  <si>
    <t>1295 - 1311 nm</t>
  </si>
  <si>
    <t>test</t>
  </si>
  <si>
    <t>TEC, @ ambient</t>
  </si>
  <si>
    <t>AA1405005</t>
  </si>
  <si>
    <t>100GBASE-SR4</t>
  </si>
  <si>
    <t>70 m /100 m</t>
  </si>
  <si>
    <t>---</t>
  </si>
  <si>
    <t>Units</t>
  </si>
  <si>
    <t>AA1404033-E6</t>
  </si>
  <si>
    <t>AA1404035-E6</t>
  </si>
  <si>
    <t>AA1404036-E6</t>
  </si>
  <si>
    <t>AA1404037-E6</t>
  </si>
  <si>
    <t>AA1404029-E6</t>
  </si>
  <si>
    <t>AA1404030-E6</t>
  </si>
  <si>
    <t>AA1404031-E6</t>
  </si>
  <si>
    <t>AA1404032-E6</t>
  </si>
  <si>
    <t>Active Optical Cable</t>
  </si>
  <si>
    <t>AA1404028-E6</t>
  </si>
  <si>
    <t>AA1404041-E6</t>
  </si>
  <si>
    <t>110VAC</t>
  </si>
  <si>
    <t>220VAC</t>
  </si>
  <si>
    <t>54DC</t>
  </si>
  <si>
    <t>Max 
Power</t>
  </si>
  <si>
    <t>Typ 
Power</t>
  </si>
  <si>
    <t>CAT-5A</t>
  </si>
  <si>
    <t>CAT-5A, w/PoE</t>
  </si>
  <si>
    <t>CAT-5A, w/PoE+</t>
  </si>
  <si>
    <t>CAT-5A, w/UPoE</t>
  </si>
  <si>
    <t>Total Copper Port 
Max Power per Card</t>
  </si>
  <si>
    <t>Total Copper Port 
Typ Power per Card</t>
  </si>
  <si>
    <t>Total 1G Optics 
Max Power per Card</t>
  </si>
  <si>
    <t>Total 1G Optics 
Typ Power per Card</t>
  </si>
  <si>
    <t>Total 10G Optics 
Max Power per Card</t>
  </si>
  <si>
    <t>Total 10G Optics 
Typ Power per Card</t>
  </si>
  <si>
    <t>Total 25G Optics 
Max Power per Card</t>
  </si>
  <si>
    <t>Total 25G Optics 
Typ Power per Card</t>
  </si>
  <si>
    <t>Total 40G Optics 
Max Power per Card</t>
  </si>
  <si>
    <t>Total 40G Optics 
Typ Power per Card</t>
  </si>
  <si>
    <t>Total 100G Optics 
Max Power per Card</t>
  </si>
  <si>
    <t>Total 100G Optics 
Typ Power per Card</t>
  </si>
  <si>
    <t>Power Consumed</t>
  </si>
  <si>
    <t>Rated at 45C, &lt;5000ft</t>
  </si>
  <si>
    <t>@55C</t>
  </si>
  <si>
    <t>@10000ft</t>
  </si>
  <si>
    <t>Board and System Power</t>
  </si>
  <si>
    <t>CP3000 @240VAC</t>
  </si>
  <si>
    <t>CP3000 @120VAC</t>
  </si>
  <si>
    <t>CP2500 @48VDC</t>
  </si>
  <si>
    <t>Hi  Altitude
@10,000ft</t>
  </si>
  <si>
    <t>-10C</t>
  </si>
  <si>
    <t>Hi Temp
@50C</t>
  </si>
  <si>
    <t>Hi Temp
@55C</t>
  </si>
  <si>
    <t>Derating</t>
  </si>
  <si>
    <t>Nominal Power
@ 45C, 5000ft</t>
  </si>
  <si>
    <t>Power @
@ 55C, 5000ft</t>
  </si>
  <si>
    <t>Power @
@ 45C, 10,000ft</t>
  </si>
  <si>
    <t>Power @
@ 50C, 10,000ft</t>
  </si>
  <si>
    <t>Power @
@ 50C, 5000ft</t>
  </si>
  <si>
    <t>Nominal Power is 0C to 45C, 0ft to 5000ft.</t>
  </si>
  <si>
    <t>Power Derating to 50C</t>
  </si>
  <si>
    <t>=</t>
  </si>
  <si>
    <t>(2%*1400)*5     =</t>
  </si>
  <si>
    <t>(2% of nominal)*(degree C rise)/(degree C)</t>
  </si>
  <si>
    <t>Power Rating with Altitude above 5000ft</t>
  </si>
  <si>
    <t>2C/1000ft above 5000ft</t>
  </si>
  <si>
    <t>at 10000ft =&gt;</t>
  </si>
  <si>
    <t xml:space="preserve">2C * 5 = </t>
  </si>
  <si>
    <t>degree hotter</t>
  </si>
  <si>
    <t xml:space="preserve">(2% nominal)* (temp rise) = </t>
  </si>
  <si>
    <t xml:space="preserve">2%*1400*10 = </t>
  </si>
  <si>
    <t>Hi Temp</t>
  </si>
  <si>
    <t>Hi Alt</t>
  </si>
  <si>
    <t>Both</t>
  </si>
  <si>
    <t>Typical</t>
  </si>
  <si>
    <t>watts</t>
  </si>
  <si>
    <r>
      <t xml:space="preserve">Total Max Card Power with Ports Populated </t>
    </r>
    <r>
      <rPr>
        <b/>
        <sz val="12"/>
        <color theme="1"/>
        <rFont val="Calibri"/>
        <family val="2"/>
        <scheme val="minor"/>
      </rPr>
      <t>(watts)</t>
    </r>
  </si>
  <si>
    <r>
      <t xml:space="preserve">Total Typ Card Power with Ports Populated </t>
    </r>
    <r>
      <rPr>
        <b/>
        <sz val="12"/>
        <color theme="1"/>
        <rFont val="Calibri"/>
        <family val="2"/>
        <scheme val="minor"/>
      </rPr>
      <t>(watts)</t>
    </r>
  </si>
  <si>
    <t>Max Card Power (without Optics) -  watts</t>
  </si>
  <si>
    <t>Typ Card Power (without Optics)   -  watts</t>
  </si>
  <si>
    <r>
      <t xml:space="preserve">Port Population - </t>
    </r>
    <r>
      <rPr>
        <b/>
        <sz val="14"/>
        <color rgb="FF0000FF"/>
        <rFont val="Calibri"/>
        <family val="2"/>
        <scheme val="minor"/>
      </rPr>
      <t>Copper RJ45</t>
    </r>
  </si>
  <si>
    <t>Power Available</t>
  </si>
  <si>
    <t>Net Power</t>
  </si>
  <si>
    <t>Quantity of ports populated per card</t>
  </si>
  <si>
    <t>Per port</t>
  </si>
  <si>
    <t xml:space="preserve">Step 1: </t>
  </si>
  <si>
    <t>Click cell in yellow to show drop -down menu.  Select card type.</t>
  </si>
  <si>
    <t xml:space="preserve">Step 2: </t>
  </si>
  <si>
    <t>Click cell in yellow to show drop -down menu.  Select power supply.</t>
  </si>
  <si>
    <t>Card description appears here.</t>
  </si>
  <si>
    <t xml:space="preserve">Step 3: </t>
  </si>
  <si>
    <t>Click cell in yellow.</t>
  </si>
  <si>
    <t>Enter number of ports</t>
  </si>
  <si>
    <t>populated by RJ45 type.</t>
  </si>
  <si>
    <t xml:space="preserve">Step 4: </t>
  </si>
  <si>
    <t xml:space="preserve">Step 5: </t>
  </si>
  <si>
    <t xml:space="preserve">Step 6: </t>
  </si>
  <si>
    <t xml:space="preserve">Step 7: </t>
  </si>
  <si>
    <t xml:space="preserve">Step 8: </t>
  </si>
  <si>
    <t>populated by 1G</t>
  </si>
  <si>
    <t>optics or DAC cables.</t>
  </si>
  <si>
    <t>Total card power</t>
  </si>
  <si>
    <t>Card power is shown here.</t>
  </si>
  <si>
    <t>Calculator  Worksheet</t>
  </si>
  <si>
    <t xml:space="preserve">     Card Descriptions</t>
  </si>
  <si>
    <t>Calculator Output</t>
  </si>
  <si>
    <t>Leave blank if port type is not used.</t>
  </si>
  <si>
    <t>populated by 10 GbE</t>
  </si>
  <si>
    <t>populated by 25 GbE</t>
  </si>
  <si>
    <t>populated by 40 GbE</t>
  </si>
  <si>
    <t>populated by 100 GbE</t>
  </si>
  <si>
    <r>
      <t xml:space="preserve">Optics Population - </t>
    </r>
    <r>
      <rPr>
        <b/>
        <sz val="14"/>
        <color rgb="FF0000FF"/>
        <rFont val="Calibri"/>
        <family val="2"/>
        <scheme val="minor"/>
      </rPr>
      <t>100 GbE Optics</t>
    </r>
  </si>
  <si>
    <r>
      <t xml:space="preserve">Optics Population - </t>
    </r>
    <r>
      <rPr>
        <b/>
        <sz val="14"/>
        <color rgb="FF0000FF"/>
        <rFont val="Calibri"/>
        <family val="2"/>
        <scheme val="minor"/>
      </rPr>
      <t>40 GbE Optics</t>
    </r>
  </si>
  <si>
    <r>
      <t xml:space="preserve">Optics Population - </t>
    </r>
    <r>
      <rPr>
        <b/>
        <sz val="14"/>
        <color rgb="FF0000FF"/>
        <rFont val="Calibri"/>
        <family val="2"/>
        <scheme val="minor"/>
      </rPr>
      <t>25 GbE Optics</t>
    </r>
  </si>
  <si>
    <r>
      <t xml:space="preserve">Optics Population - </t>
    </r>
    <r>
      <rPr>
        <b/>
        <sz val="14"/>
        <color rgb="FF0000FF"/>
        <rFont val="Calibri"/>
        <family val="2"/>
        <scheme val="minor"/>
      </rPr>
      <t>10 GbE Optics/Cables</t>
    </r>
  </si>
  <si>
    <r>
      <t xml:space="preserve">Optics Population - </t>
    </r>
    <r>
      <rPr>
        <b/>
        <sz val="14"/>
        <color rgb="FF0000FF"/>
        <rFont val="Calibri"/>
        <family val="2"/>
        <scheme val="minor"/>
      </rPr>
      <t>1 GbE Optics/Cables</t>
    </r>
  </si>
  <si>
    <t>Temp     = 0 C to 45 C,     Altitude = 0 ft to 5000 ft</t>
  </si>
  <si>
    <t>Temp     = 50 C,         Altitude = 0 ft to 5000 ft</t>
  </si>
  <si>
    <t>Temp     = 0 C to 45 C,     Altitude = 10,000 ft</t>
  </si>
  <si>
    <t>Temp     = 50 C,      Altitude = 10,000 ft</t>
  </si>
  <si>
    <t xml:space="preserve">typ = </t>
  </si>
  <si>
    <t>max</t>
  </si>
  <si>
    <t xml:space="preserve">max = </t>
  </si>
  <si>
    <t>Fan Module (each)</t>
  </si>
  <si>
    <t>Typ @ 10K RPM, Max @ 13.8K RPM</t>
  </si>
  <si>
    <t>W  Max PoE+ power for 24 ports</t>
  </si>
  <si>
    <t xml:space="preserve">   [(Power available) - ( Power Consumed)]</t>
  </si>
  <si>
    <t>= Measured value, Calculated value</t>
  </si>
  <si>
    <t>= Estimated value</t>
  </si>
  <si>
    <t>Idle</t>
  </si>
  <si>
    <t>Init</t>
  </si>
  <si>
    <t>Idle = before PHYs, Forwarding Engine, or Fabric is configured.</t>
  </si>
  <si>
    <t>VSP 8608 System Power Calculator</t>
  </si>
  <si>
    <t>8624XT</t>
  </si>
  <si>
    <t>8616QQ</t>
  </si>
  <si>
    <t>8606CQ</t>
  </si>
  <si>
    <t>8605SF</t>
  </si>
  <si>
    <t>8624XS</t>
  </si>
  <si>
    <t>EC8604002-E6</t>
  </si>
  <si>
    <t>EC8604003-E6</t>
  </si>
  <si>
    <t>EC8604004-E6</t>
  </si>
  <si>
    <t>EC8604005-E6</t>
  </si>
  <si>
    <t>EC8604001-E6</t>
  </si>
  <si>
    <t>EC8605A01-E6</t>
  </si>
  <si>
    <t>EC8605001-E6</t>
  </si>
  <si>
    <t>86224XS</t>
  </si>
  <si>
    <t>AA1403043</t>
  </si>
  <si>
    <t>10G BASE-T Cu</t>
  </si>
  <si>
    <t>CAT-6A/7</t>
  </si>
  <si>
    <t>30m</t>
  </si>
  <si>
    <t>NA</t>
  </si>
  <si>
    <t>1000BASE-T Cu</t>
  </si>
  <si>
    <t>Max (Watts)</t>
  </si>
  <si>
    <t>Optics (Watts)</t>
  </si>
  <si>
    <t>Qty/card</t>
  </si>
  <si>
    <t>Total w/Optics or CAT5</t>
  </si>
  <si>
    <t>100BASE and 1000BASE Devices</t>
  </si>
  <si>
    <t>AA1419043-E6</t>
  </si>
  <si>
    <t>AA1419048-E6</t>
  </si>
  <si>
    <t>AA1419049-E6</t>
  </si>
  <si>
    <t>AA1419065-E6*</t>
  </si>
  <si>
    <t>AA1419069-E6</t>
  </si>
  <si>
    <t>AA1419070-E6</t>
  </si>
  <si>
    <t>AA1403017-E6</t>
  </si>
  <si>
    <t>AA1403013-E6</t>
  </si>
  <si>
    <t>AA1403016-E6</t>
  </si>
  <si>
    <t>SFP Transceivers</t>
  </si>
  <si>
    <t>AA1403011-E6 and AA1403011-E6HT</t>
  </si>
  <si>
    <t>AA1403015-E6 and AA1403015-E6HT</t>
  </si>
  <si>
    <t>AA1403043-E6</t>
  </si>
  <si>
    <t>AA1403169-E6</t>
  </si>
  <si>
    <t>AA1403170-E6</t>
  </si>
  <si>
    <t>AA1404005-E6</t>
  </si>
  <si>
    <t>AA1404001-E6</t>
  </si>
  <si>
    <t>AA1404002-E6</t>
  </si>
  <si>
    <t>AA1404003-E6</t>
  </si>
  <si>
    <t>AA1405001-E6</t>
  </si>
  <si>
    <t>AA1405005-E6</t>
  </si>
  <si>
    <t>AA1403019–E6</t>
  </si>
  <si>
    <t>Active optical DAC</t>
  </si>
  <si>
    <t>AA1405029-E6</t>
  </si>
  <si>
    <t>AA1405031-E6</t>
  </si>
  <si>
    <t>AA1405032-E6</t>
  </si>
  <si>
    <t>QSFP28 to QSFP28 100 Gigabit, DAC, 3 meter</t>
  </si>
  <si>
    <t>QSFP+ to QSFP+ 40 Gigabit, DAC, 10 meter</t>
  </si>
  <si>
    <t>SFP+ to SFP+ 10 Gigabit, DAC, 3 meter</t>
  </si>
  <si>
    <t>SFP+ to SFP+ 10 Gigabit, DAC, 5 meter</t>
  </si>
  <si>
    <t>SFP+ to SFP+ 10 Gigabit, DAC, 7 meter</t>
  </si>
  <si>
    <t>SFP+ to SFP+ 10 Gigabit, DAC, 10 meter</t>
  </si>
  <si>
    <t>Passive copper DAC</t>
  </si>
  <si>
    <t>Active Optical BOC</t>
  </si>
  <si>
    <t>Passive copper BOC</t>
  </si>
  <si>
    <t>SFP+ 
end of cable</t>
  </si>
  <si>
    <t>QSFP+ to 4xSFP+ 10 Gigabit, BOC, 3 meter</t>
  </si>
  <si>
    <t>QSFP+ to 4xSFP+ 10 Gigabit, BOC, 5 meter</t>
  </si>
  <si>
    <t>100 Gigabit Types</t>
  </si>
  <si>
    <t>40 Gigabit Types</t>
  </si>
  <si>
    <t>QSFP+ Transceivers</t>
  </si>
  <si>
    <t>QSFP28 Transceivers</t>
  </si>
  <si>
    <t>QSFP+ to QSFP+ 40 Gigabit, DAC, 0.5 meter</t>
  </si>
  <si>
    <t>QSFP+ to QSFP+ 40 Gigabit, DAC, 1 meter</t>
  </si>
  <si>
    <t>QSFP+ to QSFP+ 40 Gigabit, DAC, 2 meter</t>
  </si>
  <si>
    <t>QSFP+ to QSFP+ 40 Gigabit, DAC, 3 meter</t>
  </si>
  <si>
    <t>QSFP+ to QSFP+ 40 Gigabit, DAC, 5 meter</t>
  </si>
  <si>
    <t>QSFP28 to QSFP28 100 Gigabit, DAC, 1 meter</t>
  </si>
  <si>
    <t>SFP+ Transceivers</t>
  </si>
  <si>
    <t>AA1403020–E6</t>
  </si>
  <si>
    <t>AA1403022–E6</t>
  </si>
  <si>
    <t>AA1403018–E6</t>
  </si>
  <si>
    <t>Breakout cables (BOC)</t>
  </si>
  <si>
    <t>Direct Attach Cables (DAC)</t>
  </si>
  <si>
    <t>QSFP+ 
end of 
cable</t>
  </si>
  <si>
    <t>10GBASE-T Cu</t>
  </si>
  <si>
    <t>40GBASE-LM4</t>
  </si>
  <si>
    <t>AA1404006-E6</t>
  </si>
  <si>
    <t>40GBASE-SR4 4x10GBASE-SR extended reach</t>
  </si>
  <si>
    <t>AA1403153-E6 to AA1403160-E6</t>
  </si>
  <si>
    <t>10 GBASE CWDM 40 km</t>
  </si>
  <si>
    <t>1470 - 1610</t>
  </si>
  <si>
    <t>1471 - 1610</t>
  </si>
  <si>
    <t>TEC, @ 75C</t>
  </si>
  <si>
    <t>AA1403161-E6 to AA1403168-E6</t>
  </si>
  <si>
    <t>QSFP+ to 4xSFP+ 10 Gigabit, BOC, 1 meter</t>
  </si>
  <si>
    <t>Fiber QSFP+ to 4xSFP+ 10 Gigabit, BOC, 10 meter</t>
  </si>
  <si>
    <t>QSFP28 to QSFP28 100 Gigabit, DAC, 5 meter</t>
  </si>
  <si>
    <t>AA1403015</t>
  </si>
  <si>
    <t>AA1403017</t>
  </si>
  <si>
    <t>AA1403011</t>
  </si>
  <si>
    <t>AA1404013</t>
  </si>
  <si>
    <t>AA1404016</t>
  </si>
  <si>
    <t>BTU</t>
  </si>
  <si>
    <t>Net BTU</t>
  </si>
  <si>
    <t>BTU/HR</t>
  </si>
  <si>
    <t>1 watt = 3.412 BTU/hour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</si>
</sst>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yy;@"/>
  </numFmts>
  <fonts count="46"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1"/>
      <name val="Calibri"/>
      <family val="2"/>
      <scheme val="minor"/>
    </font>
    <font>
      <b/>
      <u/>
      <sz val="16"/>
      <color theme="1"/>
      <name val="Times New Roman"/>
      <family val="1"/>
    </font>
    <font>
      <b/>
      <sz val="11"/>
      <color rgb="FF000000"/>
      <name val="Calibri"/>
      <family val="2"/>
    </font>
    <font>
      <sz val="16"/>
      <color theme="1"/>
      <name val="Calibri"/>
      <family val="2"/>
      <scheme val="minor"/>
    </font>
    <font>
      <sz val="16"/>
      <name val="Calibri"/>
      <family val="2"/>
      <scheme val="minor"/>
    </font>
    <font>
      <sz val="16"/>
      <color theme="0"/>
      <name val="Calibri"/>
      <family val="2"/>
      <scheme val="minor"/>
    </font>
    <font>
      <b/>
      <sz val="16"/>
      <color theme="1"/>
      <name val="Calibri"/>
      <family val="2"/>
      <scheme val="minor"/>
    </font>
    <font>
      <b/>
      <sz val="16"/>
      <name val="Arial"/>
      <family val="2"/>
    </font>
    <font>
      <b/>
      <sz val="12"/>
      <name val="Arial"/>
      <family val="2"/>
    </font>
    <font>
      <sz val="12"/>
      <name val="Arial"/>
      <family val="2"/>
    </font>
    <font>
      <sz val="18"/>
      <name val="Arial"/>
      <family val="2"/>
    </font>
    <font>
      <b/>
      <sz val="12"/>
      <color theme="1"/>
      <name val="Arial"/>
      <family val="2"/>
    </font>
    <font>
      <b/>
      <sz val="16"/>
      <color theme="1"/>
      <name val="Arial"/>
      <family val="2"/>
    </font>
    <font>
      <b/>
      <sz val="11"/>
      <color theme="1"/>
      <name val="Calibri"/>
      <family val="2"/>
    </font>
    <font>
      <b/>
      <sz val="10"/>
      <color theme="1"/>
      <name val="Calibri"/>
      <family val="2"/>
      <scheme val="minor"/>
    </font>
    <font>
      <sz val="10"/>
      <color theme="1"/>
      <name val="Calibri"/>
      <family val="2"/>
      <scheme val="minor"/>
    </font>
    <font>
      <sz val="6"/>
      <name val="Calibri"/>
      <family val="2"/>
      <scheme val="minor"/>
    </font>
    <font>
      <sz val="6"/>
      <color theme="1"/>
      <name val="Calibri"/>
      <family val="2"/>
      <scheme val="minor"/>
    </font>
    <font>
      <b/>
      <sz val="6"/>
      <color theme="1"/>
      <name val="Calibri"/>
      <family val="2"/>
      <scheme val="minor"/>
    </font>
    <font>
      <b/>
      <sz val="6"/>
      <name val="Calibri"/>
      <family val="2"/>
      <scheme val="minor"/>
    </font>
    <font>
      <b/>
      <sz val="10"/>
      <name val="Calibri"/>
      <family val="2"/>
      <scheme val="minor"/>
    </font>
    <font>
      <sz val="10"/>
      <name val="Calibri"/>
      <family val="2"/>
      <scheme val="minor"/>
    </font>
    <font>
      <b/>
      <sz val="12"/>
      <name val="Calibri"/>
      <family val="2"/>
      <scheme val="minor"/>
    </font>
    <font>
      <b/>
      <sz val="14"/>
      <color theme="1"/>
      <name val="Calibri"/>
      <family val="2"/>
      <scheme val="minor"/>
    </font>
    <font>
      <sz val="18"/>
      <name val="Calibri"/>
      <family val="2"/>
      <scheme val="minor"/>
    </font>
    <font>
      <b/>
      <u/>
      <sz val="6"/>
      <color theme="1"/>
      <name val="Calibri"/>
      <family val="2"/>
      <scheme val="minor"/>
    </font>
    <font>
      <sz val="12"/>
      <color theme="1"/>
      <name val="Calibri"/>
      <family val="2"/>
      <scheme val="minor"/>
    </font>
    <font>
      <b/>
      <u/>
      <sz val="16"/>
      <color theme="1"/>
      <name val="Calibri"/>
      <family val="2"/>
      <scheme val="minor"/>
    </font>
    <font>
      <sz val="14"/>
      <color theme="1"/>
      <name val="Calibri"/>
      <family val="2"/>
      <scheme val="minor"/>
    </font>
    <font>
      <sz val="12"/>
      <name val="Calibri"/>
      <family val="2"/>
      <scheme val="minor"/>
    </font>
    <font>
      <b/>
      <sz val="18"/>
      <color theme="1"/>
      <name val="Calibri"/>
      <family val="2"/>
      <scheme val="minor"/>
    </font>
    <font>
      <b/>
      <sz val="14"/>
      <color rgb="FF0000FF"/>
      <name val="Calibri"/>
      <family val="2"/>
      <scheme val="minor"/>
    </font>
    <font>
      <b/>
      <sz val="18"/>
      <name val="Calibri"/>
      <family val="2"/>
      <scheme val="minor"/>
    </font>
    <font>
      <sz val="14"/>
      <name val="Calibri"/>
      <family val="2"/>
      <scheme val="minor"/>
    </font>
    <font>
      <sz val="6"/>
      <color rgb="FF0000FF"/>
      <name val="Calibri"/>
      <family val="2"/>
      <scheme val="minor"/>
    </font>
    <font>
      <sz val="16"/>
      <color rgb="FF0000FF"/>
      <name val="Calibri"/>
      <family val="2"/>
      <scheme val="minor"/>
    </font>
    <font>
      <b/>
      <sz val="18"/>
      <color theme="0"/>
      <name val="Calibri"/>
      <family val="2"/>
      <scheme val="minor"/>
    </font>
    <font>
      <b/>
      <u/>
      <sz val="36"/>
      <color theme="1"/>
      <name val="Calibri"/>
      <family val="2"/>
      <scheme val="minor"/>
    </font>
    <font>
      <sz val="6"/>
      <color theme="0"/>
      <name val="Calibri"/>
      <family val="2"/>
      <scheme val="minor"/>
    </font>
    <font>
      <b/>
      <sz val="10"/>
      <color theme="0"/>
      <name val="Calibri"/>
      <family val="2"/>
      <scheme val="minor"/>
    </font>
    <font>
      <b/>
      <sz val="10"/>
      <color theme="0"/>
      <name val="Calibri"/>
      <family val="2"/>
    </font>
    <font>
      <b/>
      <sz val="12"/>
      <color theme="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92D050"/>
        <bgColor indexed="64"/>
      </patternFill>
    </fill>
    <fill>
      <patternFill patternType="solid">
        <fgColor theme="1"/>
        <bgColor indexed="64"/>
      </patternFill>
    </fill>
    <fill>
      <patternFill patternType="solid">
        <fgColor rgb="FFCCECFF"/>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6795556505021"/>
        <bgColor indexed="64"/>
      </patternFill>
    </fill>
    <fill>
      <patternFill patternType="gray125">
        <bgColor rgb="FFFFFF00"/>
      </patternFill>
    </fill>
    <fill>
      <patternFill patternType="gray125">
        <bgColor theme="0" tint="-0.14993743705557422"/>
      </patternFill>
    </fill>
    <fill>
      <patternFill patternType="solid">
        <fgColor rgb="FFFF99FF"/>
        <bgColor indexed="64"/>
      </patternFill>
    </fill>
    <fill>
      <patternFill patternType="solid">
        <fgColor rgb="FF99CCFF"/>
        <bgColor indexed="64"/>
      </patternFill>
    </fill>
    <fill>
      <patternFill patternType="solid">
        <fgColor rgb="FF7030A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587">
    <xf numFmtId="0" fontId="0" fillId="0" borderId="0" xfId="0"/>
    <xf numFmtId="0" fontId="0" fillId="0" borderId="0" xfId="0" applyFont="1"/>
    <xf numFmtId="0" fontId="0" fillId="0" borderId="0" xfId="0" applyBorder="1"/>
    <xf numFmtId="0" fontId="0" fillId="3" borderId="0" xfId="0" applyFill="1"/>
    <xf numFmtId="0" fontId="5" fillId="3" borderId="0" xfId="0" applyFont="1" applyFill="1" applyAlignment="1">
      <alignment horizontal="center"/>
    </xf>
    <xf numFmtId="0" fontId="2" fillId="3" borderId="0" xfId="0" applyFont="1" applyFill="1"/>
    <xf numFmtId="0" fontId="0" fillId="0" borderId="2" xfId="0" applyBorder="1"/>
    <xf numFmtId="0" fontId="0" fillId="0" borderId="18" xfId="0" applyBorder="1"/>
    <xf numFmtId="0" fontId="0" fillId="0" borderId="3" xfId="0" applyBorder="1"/>
    <xf numFmtId="0" fontId="0" fillId="0" borderId="4" xfId="0" applyBorder="1"/>
    <xf numFmtId="0" fontId="0" fillId="0" borderId="21" xfId="0" applyBorder="1"/>
    <xf numFmtId="0" fontId="0" fillId="0" borderId="5" xfId="0" applyBorder="1"/>
    <xf numFmtId="0" fontId="0" fillId="0" borderId="19" xfId="0" applyBorder="1"/>
    <xf numFmtId="0" fontId="0" fillId="0" borderId="6" xfId="0" applyBorder="1"/>
    <xf numFmtId="0" fontId="0" fillId="0" borderId="7" xfId="0" applyBorder="1"/>
    <xf numFmtId="0" fontId="7" fillId="3" borderId="0" xfId="0" applyFont="1" applyFill="1"/>
    <xf numFmtId="0" fontId="8" fillId="3" borderId="0" xfId="0" applyFont="1" applyFill="1"/>
    <xf numFmtId="0" fontId="8" fillId="0" borderId="0" xfId="0" applyFont="1"/>
    <xf numFmtId="0" fontId="7" fillId="0" borderId="0" xfId="0" applyFont="1"/>
    <xf numFmtId="0" fontId="9" fillId="3" borderId="0" xfId="0" applyFont="1" applyFill="1"/>
    <xf numFmtId="0" fontId="8" fillId="3" borderId="0" xfId="0" applyFont="1" applyFill="1" applyAlignment="1">
      <alignment horizontal="center"/>
    </xf>
    <xf numFmtId="0" fontId="0" fillId="0" borderId="0" xfId="0" applyAlignment="1">
      <alignment horizontal="center" vertical="center"/>
    </xf>
    <xf numFmtId="165" fontId="0" fillId="0" borderId="0" xfId="0" applyNumberFormat="1"/>
    <xf numFmtId="0" fontId="12" fillId="5" borderId="14" xfId="0" applyNumberFormat="1" applyFont="1" applyFill="1" applyBorder="1" applyAlignment="1">
      <alignment horizontal="center" vertical="center" wrapText="1"/>
    </xf>
    <xf numFmtId="0" fontId="12" fillId="5" borderId="29" xfId="0" applyNumberFormat="1" applyFont="1" applyFill="1" applyBorder="1" applyAlignment="1">
      <alignment horizontal="center" vertical="center" wrapText="1"/>
    </xf>
    <xf numFmtId="0" fontId="12" fillId="5" borderId="53" xfId="0" applyNumberFormat="1" applyFont="1" applyFill="1" applyBorder="1" applyAlignment="1">
      <alignment horizontal="center" vertical="center" wrapText="1"/>
    </xf>
    <xf numFmtId="0" fontId="12" fillId="5" borderId="30" xfId="0" applyNumberFormat="1" applyFont="1" applyFill="1" applyBorder="1" applyAlignment="1">
      <alignment horizontal="center" vertical="center" wrapText="1"/>
    </xf>
    <xf numFmtId="0" fontId="13" fillId="0" borderId="0" xfId="0" applyNumberFormat="1" applyFont="1"/>
    <xf numFmtId="0" fontId="0" fillId="0" borderId="24" xfId="0" applyBorder="1" applyAlignment="1">
      <alignment horizontal="center" vertical="center"/>
    </xf>
    <xf numFmtId="0" fontId="4" fillId="0" borderId="3" xfId="0" applyNumberFormat="1" applyFont="1" applyBorder="1" applyAlignment="1">
      <alignment horizontal="center" vertical="center" wrapText="1"/>
    </xf>
    <xf numFmtId="0" fontId="4" fillId="0" borderId="3" xfId="0" applyNumberFormat="1" applyFont="1" applyBorder="1" applyAlignment="1">
      <alignment horizontal="center"/>
    </xf>
    <xf numFmtId="0" fontId="4" fillId="0" borderId="4" xfId="0" applyNumberFormat="1" applyFont="1" applyBorder="1" applyAlignment="1">
      <alignment horizontal="center"/>
    </xf>
    <xf numFmtId="0" fontId="0" fillId="0" borderId="25" xfId="0" applyBorder="1" applyAlignment="1">
      <alignment horizontal="center" vertical="center"/>
    </xf>
    <xf numFmtId="0" fontId="4" fillId="0" borderId="21" xfId="0" applyNumberFormat="1" applyFont="1" applyBorder="1" applyAlignment="1">
      <alignment horizontal="left" vertical="center"/>
    </xf>
    <xf numFmtId="0" fontId="4" fillId="0" borderId="2"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2" xfId="0" applyNumberFormat="1" applyFont="1" applyBorder="1" applyAlignment="1">
      <alignment horizontal="center"/>
    </xf>
    <xf numFmtId="0" fontId="4" fillId="0" borderId="5" xfId="0" applyNumberFormat="1" applyFont="1" applyBorder="1" applyAlignment="1">
      <alignment horizontal="center"/>
    </xf>
    <xf numFmtId="0" fontId="4" fillId="0" borderId="21" xfId="0" applyNumberFormat="1" applyFont="1" applyBorder="1"/>
    <xf numFmtId="0" fontId="4" fillId="0" borderId="42" xfId="0" applyNumberFormat="1" applyFont="1" applyBorder="1" applyAlignment="1">
      <alignment horizontal="center"/>
    </xf>
    <xf numFmtId="0" fontId="0" fillId="0" borderId="2" xfId="0" applyFont="1" applyBorder="1" applyAlignment="1">
      <alignment horizontal="center"/>
    </xf>
    <xf numFmtId="0" fontId="0" fillId="0" borderId="26" xfId="0" applyBorder="1" applyAlignment="1">
      <alignment horizontal="center" vertical="center"/>
    </xf>
    <xf numFmtId="0" fontId="4" fillId="0" borderId="7" xfId="0" applyNumberFormat="1" applyFont="1" applyBorder="1" applyAlignment="1">
      <alignment horizontal="center"/>
    </xf>
    <xf numFmtId="0" fontId="0" fillId="0" borderId="0" xfId="0" applyAlignment="1">
      <alignment horizontal="left" vertical="center"/>
    </xf>
    <xf numFmtId="0" fontId="0" fillId="0" borderId="0" xfId="0" applyNumberFormat="1"/>
    <xf numFmtId="0" fontId="13" fillId="0" borderId="0" xfId="0" applyNumberFormat="1" applyFont="1" applyAlignment="1">
      <alignment wrapText="1"/>
    </xf>
    <xf numFmtId="0" fontId="14" fillId="0" borderId="0" xfId="0" applyNumberFormat="1" applyFont="1" applyAlignment="1"/>
    <xf numFmtId="0" fontId="15" fillId="0" borderId="0" xfId="0" applyFont="1" applyAlignment="1">
      <alignment horizontal="center" vertical="center"/>
    </xf>
    <xf numFmtId="0" fontId="4" fillId="0" borderId="18"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0" xfId="0" applyNumberFormat="1" applyFont="1" applyFill="1" applyBorder="1" applyAlignment="1">
      <alignment horizontal="center"/>
    </xf>
    <xf numFmtId="165" fontId="0" fillId="0" borderId="21" xfId="0" applyNumberFormat="1" applyFont="1" applyBorder="1"/>
    <xf numFmtId="0" fontId="4" fillId="0" borderId="2" xfId="0" applyNumberFormat="1" applyFont="1" applyFill="1" applyBorder="1" applyAlignment="1">
      <alignment horizontal="center" vertical="center" wrapText="1"/>
    </xf>
    <xf numFmtId="165" fontId="0" fillId="0" borderId="19" xfId="0" applyNumberFormat="1" applyFont="1" applyBorder="1"/>
    <xf numFmtId="0" fontId="4" fillId="0" borderId="6" xfId="0" applyNumberFormat="1" applyFont="1" applyBorder="1" applyAlignment="1">
      <alignment horizontal="left" vertical="center" wrapText="1"/>
    </xf>
    <xf numFmtId="0" fontId="4" fillId="0" borderId="6" xfId="0" applyNumberFormat="1" applyFont="1" applyFill="1" applyBorder="1" applyAlignment="1">
      <alignment horizontal="center" vertical="center" wrapText="1"/>
    </xf>
    <xf numFmtId="0" fontId="4" fillId="0" borderId="6" xfId="0" applyNumberFormat="1" applyFont="1" applyBorder="1" applyAlignment="1">
      <alignment horizontal="center" vertical="center" wrapText="1"/>
    </xf>
    <xf numFmtId="165" fontId="0" fillId="0" borderId="0" xfId="0" applyNumberFormat="1" applyFont="1" applyBorder="1"/>
    <xf numFmtId="0" fontId="4" fillId="0" borderId="0" xfId="0" applyNumberFormat="1" applyFont="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xf>
    <xf numFmtId="164" fontId="4" fillId="0" borderId="3" xfId="0" applyNumberFormat="1" applyFont="1" applyBorder="1" applyAlignment="1">
      <alignment horizontal="center"/>
    </xf>
    <xf numFmtId="0" fontId="4" fillId="0" borderId="19" xfId="0" applyNumberFormat="1" applyFont="1" applyBorder="1" applyAlignment="1">
      <alignment horizontal="left" vertical="center" wrapText="1"/>
    </xf>
    <xf numFmtId="164" fontId="4" fillId="0" borderId="6" xfId="0" applyNumberFormat="1" applyFont="1" applyBorder="1" applyAlignment="1">
      <alignment horizontal="center"/>
    </xf>
    <xf numFmtId="0" fontId="13" fillId="0" borderId="0" xfId="0" applyNumberFormat="1" applyFont="1" applyBorder="1" applyAlignment="1">
      <alignment horizontal="center"/>
    </xf>
    <xf numFmtId="0" fontId="12" fillId="5" borderId="9" xfId="0" applyNumberFormat="1" applyFont="1" applyFill="1" applyBorder="1" applyAlignment="1">
      <alignment horizontal="center" vertical="center" wrapText="1"/>
    </xf>
    <xf numFmtId="0" fontId="12" fillId="5" borderId="8" xfId="0" applyNumberFormat="1" applyFont="1" applyFill="1" applyBorder="1" applyAlignment="1">
      <alignment horizontal="center" vertical="center" wrapText="1"/>
    </xf>
    <xf numFmtId="0" fontId="12" fillId="5" borderId="10"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quotePrefix="1" applyBorder="1" applyAlignment="1">
      <alignment horizontal="center" vertical="center"/>
    </xf>
    <xf numFmtId="0" fontId="0" fillId="0" borderId="7" xfId="0" quotePrefix="1" applyBorder="1" applyAlignment="1">
      <alignment horizontal="center" vertical="center"/>
    </xf>
    <xf numFmtId="0" fontId="0" fillId="0" borderId="42" xfId="0" applyBorder="1"/>
    <xf numFmtId="0" fontId="0" fillId="0" borderId="43" xfId="0" applyBorder="1"/>
    <xf numFmtId="0" fontId="0" fillId="0" borderId="27" xfId="0" applyBorder="1"/>
    <xf numFmtId="0" fontId="0" fillId="2" borderId="32" xfId="0" applyFill="1" applyBorder="1"/>
    <xf numFmtId="0" fontId="0" fillId="2" borderId="28" xfId="0" applyFill="1" applyBorder="1"/>
    <xf numFmtId="0" fontId="0" fillId="0" borderId="45" xfId="0" applyBorder="1"/>
    <xf numFmtId="0" fontId="6" fillId="0" borderId="2" xfId="0" applyFont="1" applyBorder="1" applyAlignment="1">
      <alignment horizontal="left" vertical="center"/>
    </xf>
    <xf numFmtId="0" fontId="1" fillId="0" borderId="33" xfId="0" applyFont="1" applyBorder="1"/>
    <xf numFmtId="0" fontId="1" fillId="0" borderId="21" xfId="0" applyFont="1" applyBorder="1"/>
    <xf numFmtId="0" fontId="1" fillId="0" borderId="19" xfId="0" applyFont="1" applyBorder="1"/>
    <xf numFmtId="0" fontId="20" fillId="3" borderId="0" xfId="0" applyFont="1" applyFill="1"/>
    <xf numFmtId="0" fontId="21" fillId="0" borderId="0" xfId="0" applyFont="1"/>
    <xf numFmtId="0" fontId="21" fillId="3" borderId="0" xfId="0" applyFont="1" applyFill="1"/>
    <xf numFmtId="0" fontId="22" fillId="0" borderId="0" xfId="0" applyFont="1" applyBorder="1" applyAlignment="1">
      <alignment horizontal="right" vertical="center"/>
    </xf>
    <xf numFmtId="0" fontId="25" fillId="3" borderId="0" xfId="0" applyFont="1" applyFill="1"/>
    <xf numFmtId="0" fontId="19" fillId="9" borderId="50" xfId="0" applyFont="1" applyFill="1" applyBorder="1"/>
    <xf numFmtId="0" fontId="19" fillId="9" borderId="54" xfId="0" applyFont="1" applyFill="1" applyBorder="1"/>
    <xf numFmtId="0" fontId="19" fillId="9" borderId="51" xfId="0" applyFont="1" applyFill="1" applyBorder="1"/>
    <xf numFmtId="0" fontId="19" fillId="9" borderId="52" xfId="0" applyFont="1" applyFill="1" applyBorder="1"/>
    <xf numFmtId="0" fontId="23" fillId="3" borderId="0" xfId="0" applyFont="1" applyFill="1"/>
    <xf numFmtId="0" fontId="22" fillId="9" borderId="50" xfId="0" applyFont="1" applyFill="1" applyBorder="1"/>
    <xf numFmtId="0" fontId="22" fillId="9" borderId="13" xfId="0" applyFont="1" applyFill="1" applyBorder="1"/>
    <xf numFmtId="0" fontId="22" fillId="9" borderId="51" xfId="0" applyFont="1" applyFill="1" applyBorder="1"/>
    <xf numFmtId="0" fontId="22" fillId="9" borderId="15" xfId="0" applyFont="1" applyFill="1" applyBorder="1"/>
    <xf numFmtId="0" fontId="22" fillId="9" borderId="52" xfId="0" applyFont="1" applyFill="1" applyBorder="1"/>
    <xf numFmtId="0" fontId="22" fillId="9" borderId="54" xfId="0" applyFont="1" applyFill="1" applyBorder="1"/>
    <xf numFmtId="0" fontId="18" fillId="9" borderId="55" xfId="0" applyFont="1" applyFill="1" applyBorder="1"/>
    <xf numFmtId="0" fontId="18" fillId="9" borderId="51" xfId="0" applyFont="1" applyFill="1" applyBorder="1"/>
    <xf numFmtId="0" fontId="28" fillId="3" borderId="0" xfId="0" applyFont="1" applyFill="1"/>
    <xf numFmtId="0" fontId="29" fillId="0" borderId="0" xfId="0" applyFont="1"/>
    <xf numFmtId="0" fontId="24" fillId="3" borderId="0" xfId="0" applyFont="1" applyFill="1"/>
    <xf numFmtId="0" fontId="9" fillId="3" borderId="0" xfId="0" applyFont="1" applyFill="1" applyAlignment="1">
      <alignment horizontal="center"/>
    </xf>
    <xf numFmtId="0" fontId="27" fillId="3" borderId="0" xfId="0" applyFont="1" applyFill="1"/>
    <xf numFmtId="0" fontId="26" fillId="3" borderId="0" xfId="0" applyFont="1" applyFill="1"/>
    <xf numFmtId="0" fontId="18" fillId="7" borderId="40" xfId="0" applyFont="1" applyFill="1" applyBorder="1"/>
    <xf numFmtId="0" fontId="18" fillId="7" borderId="3" xfId="0" applyFont="1" applyFill="1" applyBorder="1"/>
    <xf numFmtId="0" fontId="18" fillId="7" borderId="41" xfId="0" applyFont="1" applyFill="1" applyBorder="1"/>
    <xf numFmtId="0" fontId="18" fillId="7" borderId="36" xfId="0" applyFont="1" applyFill="1" applyBorder="1"/>
    <xf numFmtId="0" fontId="18" fillId="7" borderId="2" xfId="0" applyFont="1" applyFill="1" applyBorder="1"/>
    <xf numFmtId="0" fontId="18" fillId="7" borderId="42" xfId="0" applyFont="1" applyFill="1" applyBorder="1"/>
    <xf numFmtId="0" fontId="18" fillId="7" borderId="39" xfId="0" applyFont="1" applyFill="1" applyBorder="1"/>
    <xf numFmtId="0" fontId="18" fillId="7" borderId="6" xfId="0" applyFont="1" applyFill="1" applyBorder="1"/>
    <xf numFmtId="0" fontId="18" fillId="7" borderId="43" xfId="0" applyFont="1" applyFill="1" applyBorder="1"/>
    <xf numFmtId="0" fontId="18" fillId="7" borderId="31" xfId="0" applyFont="1" applyFill="1" applyBorder="1"/>
    <xf numFmtId="0" fontId="18" fillId="7" borderId="32" xfId="0" applyFont="1" applyFill="1" applyBorder="1"/>
    <xf numFmtId="0" fontId="18" fillId="7" borderId="37" xfId="0" applyFont="1" applyFill="1" applyBorder="1"/>
    <xf numFmtId="0" fontId="18" fillId="7" borderId="59" xfId="0" applyFont="1" applyFill="1" applyBorder="1"/>
    <xf numFmtId="0" fontId="18" fillId="7" borderId="45" xfId="0" applyFont="1" applyFill="1" applyBorder="1"/>
    <xf numFmtId="0" fontId="18" fillId="7" borderId="49" xfId="0" applyFont="1" applyFill="1" applyBorder="1"/>
    <xf numFmtId="0" fontId="18" fillId="7" borderId="22" xfId="0" applyFont="1" applyFill="1" applyBorder="1"/>
    <xf numFmtId="0" fontId="18" fillId="7" borderId="8" xfId="0" applyFont="1" applyFill="1" applyBorder="1"/>
    <xf numFmtId="0" fontId="18" fillId="7" borderId="48" xfId="0" applyFont="1" applyFill="1" applyBorder="1"/>
    <xf numFmtId="0" fontId="18" fillId="7" borderId="60" xfId="0" applyFont="1" applyFill="1" applyBorder="1"/>
    <xf numFmtId="0" fontId="18" fillId="7" borderId="53" xfId="0" applyFont="1" applyFill="1" applyBorder="1"/>
    <xf numFmtId="0" fontId="18" fillId="7" borderId="63" xfId="0" applyFont="1" applyFill="1" applyBorder="1"/>
    <xf numFmtId="0" fontId="18" fillId="7" borderId="64" xfId="0" applyFont="1" applyFill="1" applyBorder="1"/>
    <xf numFmtId="0" fontId="18" fillId="7" borderId="35" xfId="0" applyFont="1" applyFill="1" applyBorder="1"/>
    <xf numFmtId="0" fontId="18" fillId="7" borderId="62" xfId="0" applyFont="1" applyFill="1" applyBorder="1"/>
    <xf numFmtId="1" fontId="27" fillId="3" borderId="0" xfId="0" applyNumberFormat="1" applyFont="1" applyFill="1" applyBorder="1"/>
    <xf numFmtId="0" fontId="30" fillId="3" borderId="0" xfId="0" applyFont="1" applyFill="1"/>
    <xf numFmtId="0" fontId="30" fillId="3" borderId="0" xfId="0" applyFont="1" applyFill="1" applyBorder="1"/>
    <xf numFmtId="0" fontId="0" fillId="0" borderId="0" xfId="0" applyAlignment="1">
      <alignment textRotation="90"/>
    </xf>
    <xf numFmtId="0" fontId="0" fillId="0" borderId="2" xfId="0" quotePrefix="1" applyBorder="1" applyAlignment="1">
      <alignment horizontal="right"/>
    </xf>
    <xf numFmtId="0" fontId="0" fillId="0" borderId="2" xfId="0" quotePrefix="1" applyBorder="1" applyAlignment="1">
      <alignment horizontal="left"/>
    </xf>
    <xf numFmtId="0" fontId="0" fillId="4" borderId="2" xfId="0" applyFill="1" applyBorder="1" applyAlignment="1">
      <alignment horizontal="right"/>
    </xf>
    <xf numFmtId="0" fontId="0" fillId="4" borderId="21" xfId="0" applyFill="1" applyBorder="1" applyAlignment="1">
      <alignment horizontal="right"/>
    </xf>
    <xf numFmtId="0" fontId="0" fillId="4" borderId="5" xfId="0" applyFill="1" applyBorder="1"/>
    <xf numFmtId="0" fontId="0" fillId="4" borderId="19" xfId="0" applyFill="1" applyBorder="1" applyAlignment="1">
      <alignment horizontal="right"/>
    </xf>
    <xf numFmtId="0" fontId="0" fillId="0" borderId="6" xfId="0" quotePrefix="1" applyBorder="1" applyAlignment="1">
      <alignment horizontal="left"/>
    </xf>
    <xf numFmtId="0" fontId="0" fillId="4" borderId="6" xfId="0" applyFill="1" applyBorder="1" applyAlignment="1">
      <alignment horizontal="right"/>
    </xf>
    <xf numFmtId="0" fontId="0" fillId="4" borderId="7" xfId="0" applyFill="1" applyBorder="1"/>
    <xf numFmtId="0" fontId="0" fillId="0" borderId="6" xfId="0" quotePrefix="1" applyBorder="1" applyAlignment="1">
      <alignment horizontal="right"/>
    </xf>
    <xf numFmtId="0" fontId="0" fillId="4" borderId="25" xfId="0" applyFill="1" applyBorder="1"/>
    <xf numFmtId="0" fontId="0" fillId="4" borderId="26" xfId="0" applyFill="1" applyBorder="1"/>
    <xf numFmtId="0" fontId="0" fillId="0" borderId="24" xfId="0" applyBorder="1"/>
    <xf numFmtId="0" fontId="0" fillId="0" borderId="25" xfId="0" applyBorder="1"/>
    <xf numFmtId="0" fontId="0" fillId="0" borderId="26" xfId="0" applyBorder="1"/>
    <xf numFmtId="0" fontId="0" fillId="4" borderId="14" xfId="0" applyFill="1" applyBorder="1" applyAlignment="1">
      <alignment textRotation="90" wrapText="1"/>
    </xf>
    <xf numFmtId="0" fontId="0" fillId="0" borderId="9" xfId="0" applyBorder="1" applyAlignment="1">
      <alignment textRotation="90" wrapText="1"/>
    </xf>
    <xf numFmtId="0" fontId="0" fillId="0" borderId="8" xfId="0" applyBorder="1" applyAlignment="1">
      <alignment textRotation="90" wrapText="1"/>
    </xf>
    <xf numFmtId="0" fontId="0" fillId="0" borderId="10" xfId="0" applyBorder="1" applyAlignment="1">
      <alignment textRotation="90" wrapText="1"/>
    </xf>
    <xf numFmtId="0" fontId="0" fillId="4" borderId="9" xfId="0" applyFill="1" applyBorder="1" applyAlignment="1">
      <alignment textRotation="90" wrapText="1"/>
    </xf>
    <xf numFmtId="0" fontId="0" fillId="4" borderId="8" xfId="0" applyFill="1" applyBorder="1" applyAlignment="1">
      <alignment textRotation="90" wrapText="1"/>
    </xf>
    <xf numFmtId="0" fontId="0" fillId="4" borderId="10" xfId="0" applyFill="1" applyBorder="1" applyAlignment="1">
      <alignment textRotation="90" wrapText="1"/>
    </xf>
    <xf numFmtId="0" fontId="0" fillId="4" borderId="24" xfId="0" applyFill="1" applyBorder="1"/>
    <xf numFmtId="0" fontId="0" fillId="0" borderId="3" xfId="0" quotePrefix="1" applyBorder="1" applyAlignment="1">
      <alignment horizontal="right"/>
    </xf>
    <xf numFmtId="0" fontId="0" fillId="4" borderId="18" xfId="0" applyFill="1" applyBorder="1" applyAlignment="1">
      <alignment horizontal="right"/>
    </xf>
    <xf numFmtId="0" fontId="0" fillId="0" borderId="3" xfId="0" quotePrefix="1" applyBorder="1" applyAlignment="1">
      <alignment horizontal="left"/>
    </xf>
    <xf numFmtId="0" fontId="0" fillId="4" borderId="3" xfId="0" applyFill="1" applyBorder="1" applyAlignment="1">
      <alignment horizontal="right"/>
    </xf>
    <xf numFmtId="0" fontId="0" fillId="4" borderId="4" xfId="0" applyFill="1" applyBorder="1"/>
    <xf numFmtId="0" fontId="31" fillId="11" borderId="50" xfId="0" applyFont="1" applyFill="1" applyBorder="1"/>
    <xf numFmtId="0" fontId="30" fillId="11" borderId="13" xfId="0" applyFont="1" applyFill="1" applyBorder="1"/>
    <xf numFmtId="0" fontId="30" fillId="11" borderId="55" xfId="0" applyFont="1" applyFill="1" applyBorder="1"/>
    <xf numFmtId="0" fontId="10" fillId="11" borderId="0" xfId="0" applyFont="1" applyFill="1" applyBorder="1"/>
    <xf numFmtId="0" fontId="30" fillId="11" borderId="0" xfId="0" applyFont="1" applyFill="1" applyBorder="1"/>
    <xf numFmtId="0" fontId="30" fillId="11" borderId="51" xfId="0" applyFont="1" applyFill="1" applyBorder="1"/>
    <xf numFmtId="0" fontId="30" fillId="11" borderId="15" xfId="0" applyFont="1" applyFill="1" applyBorder="1"/>
    <xf numFmtId="0" fontId="30" fillId="11" borderId="52" xfId="0" applyFont="1" applyFill="1" applyBorder="1"/>
    <xf numFmtId="0" fontId="30" fillId="11" borderId="54" xfId="0" applyFont="1" applyFill="1" applyBorder="1"/>
    <xf numFmtId="0" fontId="30" fillId="11" borderId="56" xfId="0" applyFont="1" applyFill="1" applyBorder="1"/>
    <xf numFmtId="0" fontId="0" fillId="0" borderId="0" xfId="0" quotePrefix="1"/>
    <xf numFmtId="0" fontId="31" fillId="11" borderId="55" xfId="0" applyFont="1" applyFill="1" applyBorder="1"/>
    <xf numFmtId="0" fontId="10" fillId="2" borderId="27" xfId="0" applyFont="1" applyFill="1" applyBorder="1" applyAlignment="1">
      <alignment textRotation="90"/>
    </xf>
    <xf numFmtId="0" fontId="10" fillId="2" borderId="1" xfId="0" applyFont="1" applyFill="1" applyBorder="1" applyAlignment="1">
      <alignment textRotation="90"/>
    </xf>
    <xf numFmtId="0" fontId="3" fillId="11" borderId="0" xfId="0" applyFont="1" applyFill="1" applyBorder="1" applyAlignment="1">
      <alignment horizontal="center"/>
    </xf>
    <xf numFmtId="0" fontId="1" fillId="11" borderId="0" xfId="0" applyFont="1" applyFill="1" applyBorder="1" applyAlignment="1">
      <alignment horizontal="center"/>
    </xf>
    <xf numFmtId="1" fontId="3" fillId="2" borderId="27" xfId="0" applyNumberFormat="1" applyFont="1" applyFill="1" applyBorder="1" applyAlignment="1"/>
    <xf numFmtId="1" fontId="3" fillId="2" borderId="1" xfId="0" applyNumberFormat="1" applyFont="1" applyFill="1" applyBorder="1" applyAlignment="1"/>
    <xf numFmtId="0" fontId="3" fillId="2" borderId="29" xfId="0" applyFont="1" applyFill="1" applyBorder="1"/>
    <xf numFmtId="0" fontId="3" fillId="2" borderId="60" xfId="0" applyFont="1" applyFill="1" applyBorder="1"/>
    <xf numFmtId="0" fontId="3" fillId="2" borderId="52" xfId="0" applyFont="1" applyFill="1" applyBorder="1"/>
    <xf numFmtId="0" fontId="3" fillId="2" borderId="31" xfId="0" applyFont="1" applyFill="1" applyBorder="1"/>
    <xf numFmtId="0" fontId="3" fillId="2" borderId="27" xfId="0" applyFont="1" applyFill="1" applyBorder="1"/>
    <xf numFmtId="0" fontId="3" fillId="2" borderId="23" xfId="0" applyFont="1" applyFill="1" applyBorder="1"/>
    <xf numFmtId="1" fontId="3" fillId="2" borderId="27" xfId="0" applyNumberFormat="1" applyFont="1" applyFill="1" applyBorder="1"/>
    <xf numFmtId="1" fontId="3" fillId="2" borderId="1" xfId="0" applyNumberFormat="1" applyFont="1" applyFill="1" applyBorder="1"/>
    <xf numFmtId="0" fontId="3" fillId="2" borderId="38" xfId="0" applyFont="1" applyFill="1" applyBorder="1" applyAlignment="1">
      <alignment horizontal="center"/>
    </xf>
    <xf numFmtId="0" fontId="3" fillId="10" borderId="18" xfId="0" applyFont="1" applyFill="1" applyBorder="1"/>
    <xf numFmtId="0" fontId="3" fillId="10" borderId="3" xfId="0" applyFont="1" applyFill="1" applyBorder="1"/>
    <xf numFmtId="0" fontId="3" fillId="10" borderId="4" xfId="0" applyFont="1" applyFill="1" applyBorder="1"/>
    <xf numFmtId="0" fontId="3" fillId="10" borderId="21" xfId="0" applyFont="1" applyFill="1" applyBorder="1"/>
    <xf numFmtId="0" fontId="3" fillId="10" borderId="2" xfId="0" applyFont="1" applyFill="1" applyBorder="1"/>
    <xf numFmtId="0" fontId="3" fillId="10" borderId="5" xfId="0" applyFont="1" applyFill="1" applyBorder="1"/>
    <xf numFmtId="0" fontId="3" fillId="10" borderId="19" xfId="0" applyFont="1" applyFill="1" applyBorder="1"/>
    <xf numFmtId="0" fontId="3" fillId="10" borderId="6" xfId="0" applyFont="1" applyFill="1" applyBorder="1"/>
    <xf numFmtId="0" fontId="3" fillId="10" borderId="7" xfId="0" applyFont="1" applyFill="1" applyBorder="1"/>
    <xf numFmtId="0" fontId="3" fillId="10" borderId="46" xfId="0" applyFont="1" applyFill="1" applyBorder="1"/>
    <xf numFmtId="0" fontId="3" fillId="10" borderId="45" xfId="0" applyFont="1" applyFill="1" applyBorder="1"/>
    <xf numFmtId="0" fontId="3" fillId="10" borderId="47" xfId="0" applyFont="1" applyFill="1" applyBorder="1"/>
    <xf numFmtId="0" fontId="3" fillId="10" borderId="9" xfId="0" applyFont="1" applyFill="1" applyBorder="1"/>
    <xf numFmtId="0" fontId="3" fillId="10" borderId="8" xfId="0" applyFont="1" applyFill="1" applyBorder="1"/>
    <xf numFmtId="0" fontId="3" fillId="10" borderId="10" xfId="0" applyFont="1" applyFill="1" applyBorder="1"/>
    <xf numFmtId="0" fontId="3" fillId="10" borderId="18" xfId="0" applyFont="1" applyFill="1" applyBorder="1" applyAlignment="1">
      <alignment horizontal="left"/>
    </xf>
    <xf numFmtId="0" fontId="3" fillId="10" borderId="3" xfId="0" applyFont="1" applyFill="1" applyBorder="1" applyAlignment="1">
      <alignment horizontal="left"/>
    </xf>
    <xf numFmtId="0" fontId="3" fillId="10" borderId="4" xfId="0" applyFont="1" applyFill="1" applyBorder="1" applyAlignment="1">
      <alignment horizontal="left"/>
    </xf>
    <xf numFmtId="0" fontId="3" fillId="10" borderId="46" xfId="0" applyFont="1" applyFill="1" applyBorder="1" applyAlignment="1">
      <alignment horizontal="left"/>
    </xf>
    <xf numFmtId="0" fontId="3" fillId="10" borderId="45" xfId="0" applyFont="1" applyFill="1" applyBorder="1" applyAlignment="1">
      <alignment horizontal="left"/>
    </xf>
    <xf numFmtId="0" fontId="3" fillId="10" borderId="47" xfId="0" applyFont="1" applyFill="1" applyBorder="1" applyAlignment="1">
      <alignment horizontal="left"/>
    </xf>
    <xf numFmtId="0" fontId="3" fillId="2" borderId="2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7" xfId="0" applyFont="1" applyFill="1" applyBorder="1" applyAlignment="1">
      <alignment horizontal="center" vertical="center"/>
    </xf>
    <xf numFmtId="0" fontId="26" fillId="2" borderId="68" xfId="0" applyNumberFormat="1" applyFont="1" applyFill="1" applyBorder="1"/>
    <xf numFmtId="0" fontId="3" fillId="2" borderId="24" xfId="0" applyFont="1" applyFill="1" applyBorder="1" applyAlignment="1">
      <alignment horizontal="left"/>
    </xf>
    <xf numFmtId="0" fontId="3" fillId="2" borderId="25" xfId="0" applyFont="1" applyFill="1" applyBorder="1" applyAlignment="1">
      <alignment horizontal="center" vertical="center"/>
    </xf>
    <xf numFmtId="0" fontId="3" fillId="2" borderId="25" xfId="0" applyFont="1" applyFill="1" applyBorder="1" applyAlignment="1">
      <alignment horizontal="left"/>
    </xf>
    <xf numFmtId="0" fontId="3" fillId="2" borderId="58" xfId="0" applyFont="1" applyFill="1" applyBorder="1" applyAlignment="1">
      <alignment horizontal="center" vertical="center"/>
    </xf>
    <xf numFmtId="0" fontId="3" fillId="2" borderId="58" xfId="0" applyFont="1" applyFill="1" applyBorder="1" applyAlignment="1">
      <alignment horizontal="left"/>
    </xf>
    <xf numFmtId="0" fontId="26" fillId="2" borderId="54" xfId="0" applyNumberFormat="1" applyFont="1" applyFill="1" applyBorder="1"/>
    <xf numFmtId="0" fontId="26" fillId="2" borderId="24" xfId="0" applyNumberFormat="1" applyFont="1" applyFill="1" applyBorder="1" applyAlignment="1">
      <alignment horizontal="left" vertical="center" wrapText="1"/>
    </xf>
    <xf numFmtId="0" fontId="26" fillId="2" borderId="26" xfId="0" applyNumberFormat="1" applyFont="1" applyFill="1" applyBorder="1" applyAlignment="1">
      <alignment horizontal="left" vertical="center" wrapText="1"/>
    </xf>
    <xf numFmtId="0" fontId="26" fillId="2" borderId="66" xfId="0" applyNumberFormat="1" applyFont="1" applyFill="1" applyBorder="1" applyAlignment="1">
      <alignment horizontal="left" vertical="center"/>
    </xf>
    <xf numFmtId="0" fontId="26" fillId="2" borderId="67" xfId="0" applyNumberFormat="1" applyFont="1" applyFill="1" applyBorder="1" applyAlignment="1">
      <alignment horizontal="left" vertical="center"/>
    </xf>
    <xf numFmtId="0" fontId="26" fillId="2" borderId="67" xfId="0" applyNumberFormat="1" applyFont="1" applyFill="1" applyBorder="1"/>
    <xf numFmtId="0" fontId="26" fillId="2" borderId="65" xfId="0" applyNumberFormat="1" applyFont="1" applyFill="1" applyBorder="1"/>
    <xf numFmtId="0" fontId="33" fillId="3" borderId="0" xfId="0" applyFont="1" applyFill="1"/>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26" fillId="2" borderId="25" xfId="0" applyNumberFormat="1"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23" xfId="0" applyFont="1" applyFill="1" applyBorder="1" applyAlignment="1">
      <alignment horizontal="left" vertical="center"/>
    </xf>
    <xf numFmtId="0" fontId="26" fillId="2" borderId="56" xfId="0" applyNumberFormat="1" applyFont="1" applyFill="1" applyBorder="1" applyAlignment="1">
      <alignment horizontal="left"/>
    </xf>
    <xf numFmtId="0" fontId="26" fillId="2" borderId="68" xfId="0" applyNumberFormat="1" applyFont="1" applyFill="1" applyBorder="1" applyAlignment="1">
      <alignment horizontal="left"/>
    </xf>
    <xf numFmtId="0" fontId="3" fillId="8" borderId="11" xfId="0" applyFont="1" applyFill="1" applyBorder="1" applyAlignment="1">
      <alignment vertical="center" wrapText="1"/>
    </xf>
    <xf numFmtId="0" fontId="10" fillId="4" borderId="1" xfId="0" applyFont="1" applyFill="1" applyBorder="1" applyAlignment="1">
      <alignment horizontal="center" textRotation="90"/>
    </xf>
    <xf numFmtId="0" fontId="36" fillId="3" borderId="0" xfId="0" applyFont="1" applyFill="1"/>
    <xf numFmtId="0" fontId="3" fillId="12" borderId="38" xfId="0" applyFont="1" applyFill="1" applyBorder="1" applyAlignment="1">
      <alignment horizontal="center"/>
    </xf>
    <xf numFmtId="0" fontId="10" fillId="11" borderId="15" xfId="0" applyFont="1" applyFill="1" applyBorder="1"/>
    <xf numFmtId="0" fontId="3" fillId="11" borderId="0" xfId="0" applyFont="1" applyFill="1" applyBorder="1" applyAlignment="1">
      <alignment horizontal="left"/>
    </xf>
    <xf numFmtId="0" fontId="3" fillId="11" borderId="69" xfId="0" applyFont="1" applyFill="1" applyBorder="1" applyAlignment="1">
      <alignment horizontal="left"/>
    </xf>
    <xf numFmtId="0" fontId="1" fillId="11" borderId="69" xfId="0" applyFont="1" applyFill="1" applyBorder="1" applyAlignment="1">
      <alignment horizontal="left"/>
    </xf>
    <xf numFmtId="0" fontId="10" fillId="11" borderId="15" xfId="0" applyFont="1" applyFill="1" applyBorder="1" applyAlignment="1"/>
    <xf numFmtId="0" fontId="37" fillId="3" borderId="0" xfId="0" applyFont="1" applyFill="1"/>
    <xf numFmtId="0" fontId="37" fillId="3" borderId="0" xfId="0" applyFont="1" applyFill="1" applyAlignment="1">
      <alignment horizontal="left" vertical="center"/>
    </xf>
    <xf numFmtId="0" fontId="37" fillId="3" borderId="0" xfId="0" applyFont="1" applyFill="1" applyAlignment="1">
      <alignment vertical="top"/>
    </xf>
    <xf numFmtId="0" fontId="38" fillId="3" borderId="0" xfId="0" applyFont="1" applyFill="1"/>
    <xf numFmtId="0" fontId="39" fillId="0" borderId="0" xfId="0" applyFont="1"/>
    <xf numFmtId="164" fontId="24" fillId="2" borderId="18" xfId="0" applyNumberFormat="1" applyFont="1" applyFill="1" applyBorder="1" applyAlignment="1">
      <alignment horizontal="right"/>
    </xf>
    <xf numFmtId="164" fontId="24" fillId="2" borderId="4" xfId="0" applyNumberFormat="1" applyFont="1" applyFill="1" applyBorder="1" applyAlignment="1">
      <alignment horizontal="right"/>
    </xf>
    <xf numFmtId="164" fontId="24" fillId="2" borderId="21" xfId="0" applyNumberFormat="1" applyFont="1" applyFill="1" applyBorder="1" applyAlignment="1">
      <alignment horizontal="right"/>
    </xf>
    <xf numFmtId="164" fontId="24" fillId="2" borderId="5" xfId="0" applyNumberFormat="1" applyFont="1" applyFill="1" applyBorder="1" applyAlignment="1">
      <alignment horizontal="right"/>
    </xf>
    <xf numFmtId="164" fontId="24" fillId="2" borderId="19" xfId="0" applyNumberFormat="1" applyFont="1" applyFill="1" applyBorder="1" applyAlignment="1">
      <alignment horizontal="right"/>
    </xf>
    <xf numFmtId="164" fontId="24" fillId="2" borderId="7" xfId="0" applyNumberFormat="1" applyFont="1" applyFill="1" applyBorder="1" applyAlignment="1">
      <alignment horizontal="right"/>
    </xf>
    <xf numFmtId="0" fontId="24" fillId="2" borderId="40" xfId="0" applyNumberFormat="1" applyFont="1" applyFill="1" applyBorder="1" applyAlignment="1">
      <alignment horizontal="right"/>
    </xf>
    <xf numFmtId="0" fontId="24" fillId="2" borderId="41" xfId="0" applyNumberFormat="1" applyFont="1" applyFill="1" applyBorder="1" applyAlignment="1">
      <alignment horizontal="right"/>
    </xf>
    <xf numFmtId="0" fontId="24" fillId="2" borderId="36" xfId="0" applyNumberFormat="1" applyFont="1" applyFill="1" applyBorder="1" applyAlignment="1">
      <alignment horizontal="right"/>
    </xf>
    <xf numFmtId="0" fontId="24" fillId="2" borderId="42" xfId="0" applyNumberFormat="1" applyFont="1" applyFill="1" applyBorder="1" applyAlignment="1">
      <alignment horizontal="right"/>
    </xf>
    <xf numFmtId="0" fontId="18" fillId="2" borderId="36" xfId="0" applyFont="1" applyFill="1" applyBorder="1" applyAlignment="1">
      <alignment horizontal="right"/>
    </xf>
    <xf numFmtId="0" fontId="18" fillId="2" borderId="42" xfId="0" applyFont="1" applyFill="1" applyBorder="1" applyAlignment="1">
      <alignment horizontal="right"/>
    </xf>
    <xf numFmtId="0" fontId="24" fillId="2" borderId="59" xfId="0" applyNumberFormat="1" applyFont="1" applyFill="1" applyBorder="1" applyAlignment="1">
      <alignment horizontal="right"/>
    </xf>
    <xf numFmtId="0" fontId="24" fillId="2" borderId="49" xfId="0" applyNumberFormat="1" applyFont="1" applyFill="1" applyBorder="1" applyAlignment="1">
      <alignment horizontal="right"/>
    </xf>
    <xf numFmtId="0" fontId="24" fillId="2" borderId="22" xfId="0" applyNumberFormat="1" applyFont="1" applyFill="1" applyBorder="1" applyAlignment="1">
      <alignment horizontal="right"/>
    </xf>
    <xf numFmtId="0" fontId="24" fillId="2" borderId="48" xfId="0" applyNumberFormat="1" applyFont="1" applyFill="1" applyBorder="1" applyAlignment="1">
      <alignment horizontal="right"/>
    </xf>
    <xf numFmtId="0" fontId="24" fillId="2" borderId="39" xfId="0" applyNumberFormat="1" applyFont="1" applyFill="1" applyBorder="1" applyAlignment="1">
      <alignment horizontal="right"/>
    </xf>
    <xf numFmtId="0" fontId="24" fillId="2" borderId="43" xfId="0" applyNumberFormat="1" applyFont="1" applyFill="1" applyBorder="1" applyAlignment="1">
      <alignment horizontal="right"/>
    </xf>
    <xf numFmtId="164" fontId="24" fillId="2" borderId="40" xfId="0" applyNumberFormat="1" applyFont="1" applyFill="1" applyBorder="1" applyAlignment="1">
      <alignment horizontal="right"/>
    </xf>
    <xf numFmtId="164" fontId="24" fillId="2" borderId="41" xfId="0" applyNumberFormat="1" applyFont="1" applyFill="1" applyBorder="1" applyAlignment="1">
      <alignment horizontal="right"/>
    </xf>
    <xf numFmtId="164" fontId="24" fillId="2" borderId="39" xfId="0" applyNumberFormat="1" applyFont="1" applyFill="1" applyBorder="1" applyAlignment="1">
      <alignment horizontal="right"/>
    </xf>
    <xf numFmtId="164" fontId="24" fillId="2" borderId="43" xfId="0" applyNumberFormat="1" applyFont="1" applyFill="1" applyBorder="1" applyAlignment="1">
      <alignment horizontal="right"/>
    </xf>
    <xf numFmtId="0" fontId="18" fillId="2" borderId="3" xfId="0" applyFont="1" applyFill="1" applyBorder="1" applyAlignment="1">
      <alignment horizontal="right" vertical="center"/>
    </xf>
    <xf numFmtId="0" fontId="18" fillId="2" borderId="2" xfId="0" applyFont="1" applyFill="1" applyBorder="1" applyAlignment="1">
      <alignment horizontal="right" vertical="center"/>
    </xf>
    <xf numFmtId="0" fontId="18" fillId="2" borderId="45" xfId="0" applyFont="1" applyFill="1" applyBorder="1" applyAlignment="1">
      <alignment horizontal="right" vertical="center"/>
    </xf>
    <xf numFmtId="0" fontId="18" fillId="2" borderId="27" xfId="0" applyFont="1" applyFill="1" applyBorder="1" applyAlignment="1">
      <alignment horizontal="right" vertical="center"/>
    </xf>
    <xf numFmtId="0" fontId="18" fillId="2" borderId="28" xfId="0" quotePrefix="1" applyFont="1" applyFill="1" applyBorder="1" applyAlignment="1">
      <alignment horizontal="right" vertical="center"/>
    </xf>
    <xf numFmtId="0" fontId="18" fillId="2" borderId="28" xfId="0" applyFont="1" applyFill="1" applyBorder="1" applyAlignment="1">
      <alignment horizontal="right" vertical="center"/>
    </xf>
    <xf numFmtId="0" fontId="24" fillId="2" borderId="61" xfId="0" applyNumberFormat="1" applyFont="1" applyFill="1" applyBorder="1" applyAlignment="1">
      <alignment horizontal="right"/>
    </xf>
    <xf numFmtId="0" fontId="24" fillId="2" borderId="62" xfId="0" applyNumberFormat="1" applyFont="1" applyFill="1" applyBorder="1" applyAlignment="1">
      <alignment horizontal="right"/>
    </xf>
    <xf numFmtId="0" fontId="24" fillId="2" borderId="19" xfId="0" applyNumberFormat="1" applyFont="1" applyFill="1" applyBorder="1" applyAlignment="1">
      <alignment horizontal="right"/>
    </xf>
    <xf numFmtId="0" fontId="3" fillId="2" borderId="46" xfId="0" applyFont="1" applyFill="1" applyBorder="1" applyAlignment="1">
      <alignment horizontal="center"/>
    </xf>
    <xf numFmtId="0" fontId="3" fillId="2" borderId="47" xfId="0" applyFont="1" applyFill="1" applyBorder="1" applyAlignment="1">
      <alignment horizontal="center"/>
    </xf>
    <xf numFmtId="0" fontId="3" fillId="2" borderId="19" xfId="0" applyFont="1" applyFill="1" applyBorder="1" applyAlignment="1">
      <alignment horizontal="center"/>
    </xf>
    <xf numFmtId="0" fontId="3" fillId="2" borderId="7" xfId="0" applyFont="1" applyFill="1" applyBorder="1" applyAlignment="1">
      <alignment horizontal="center"/>
    </xf>
    <xf numFmtId="0" fontId="10" fillId="13" borderId="11" xfId="0" applyFont="1" applyFill="1" applyBorder="1" applyAlignment="1">
      <alignment horizontal="center" textRotation="90"/>
    </xf>
    <xf numFmtId="0" fontId="10" fillId="13" borderId="1" xfId="0" applyFont="1" applyFill="1" applyBorder="1" applyAlignment="1">
      <alignment horizontal="center" textRotation="90"/>
    </xf>
    <xf numFmtId="0" fontId="10" fillId="13" borderId="23" xfId="0" applyFont="1" applyFill="1" applyBorder="1" applyAlignment="1">
      <alignment horizontal="center" textRotation="90"/>
    </xf>
    <xf numFmtId="0" fontId="10" fillId="14" borderId="27" xfId="0" applyFont="1" applyFill="1" applyBorder="1" applyAlignment="1">
      <alignment textRotation="90"/>
    </xf>
    <xf numFmtId="0" fontId="10" fillId="14" borderId="1" xfId="0" applyFont="1" applyFill="1" applyBorder="1" applyAlignment="1">
      <alignment textRotation="90"/>
    </xf>
    <xf numFmtId="0" fontId="3" fillId="2" borderId="29" xfId="0" applyFont="1" applyFill="1" applyBorder="1" applyAlignment="1">
      <alignment horizontal="center"/>
    </xf>
    <xf numFmtId="0" fontId="3" fillId="2" borderId="53" xfId="0" applyFont="1" applyFill="1" applyBorder="1" applyAlignment="1">
      <alignment horizontal="center"/>
    </xf>
    <xf numFmtId="0" fontId="3" fillId="12" borderId="53" xfId="0" applyFont="1" applyFill="1" applyBorder="1" applyAlignment="1">
      <alignment horizontal="center"/>
    </xf>
    <xf numFmtId="0" fontId="3" fillId="2" borderId="30" xfId="0" applyFont="1" applyFill="1" applyBorder="1" applyAlignment="1">
      <alignment horizontal="center"/>
    </xf>
    <xf numFmtId="0" fontId="20" fillId="3" borderId="0" xfId="0" applyFont="1" applyFill="1" applyBorder="1"/>
    <xf numFmtId="0" fontId="20" fillId="8" borderId="36" xfId="0" applyFont="1" applyFill="1" applyBorder="1"/>
    <xf numFmtId="0" fontId="21" fillId="8" borderId="36" xfId="0" applyFont="1" applyFill="1" applyBorder="1"/>
    <xf numFmtId="0" fontId="34" fillId="8" borderId="42" xfId="0" applyFont="1" applyFill="1" applyBorder="1"/>
    <xf numFmtId="0" fontId="36" fillId="8" borderId="42" xfId="0" applyFont="1" applyFill="1" applyBorder="1"/>
    <xf numFmtId="0" fontId="36" fillId="8" borderId="2" xfId="0" applyFont="1" applyFill="1" applyBorder="1" applyAlignment="1"/>
    <xf numFmtId="0" fontId="36" fillId="8" borderId="2" xfId="0" applyFont="1" applyFill="1" applyBorder="1"/>
    <xf numFmtId="0" fontId="41" fillId="0" borderId="0" xfId="0" applyFont="1"/>
    <xf numFmtId="0" fontId="0" fillId="2" borderId="12" xfId="0" applyFill="1" applyBorder="1" applyAlignment="1">
      <alignment horizontal="left"/>
    </xf>
    <xf numFmtId="0" fontId="0" fillId="2" borderId="23" xfId="0" applyFill="1" applyBorder="1" applyAlignment="1">
      <alignment horizontal="left"/>
    </xf>
    <xf numFmtId="9" fontId="0" fillId="0" borderId="0" xfId="0" applyNumberFormat="1"/>
    <xf numFmtId="10" fontId="0" fillId="0" borderId="0" xfId="0" applyNumberFormat="1"/>
    <xf numFmtId="0" fontId="0" fillId="4" borderId="38" xfId="0" applyFill="1" applyBorder="1"/>
    <xf numFmtId="164" fontId="0" fillId="4" borderId="33" xfId="0" applyNumberFormat="1" applyFill="1" applyBorder="1"/>
    <xf numFmtId="0" fontId="0" fillId="4" borderId="2" xfId="0" applyFill="1" applyBorder="1"/>
    <xf numFmtId="0" fontId="0" fillId="15" borderId="2" xfId="0" applyFill="1" applyBorder="1"/>
    <xf numFmtId="164" fontId="0" fillId="15" borderId="21" xfId="0" applyNumberFormat="1" applyFill="1" applyBorder="1"/>
    <xf numFmtId="0" fontId="0" fillId="0" borderId="0" xfId="0" quotePrefix="1" applyFill="1" applyBorder="1"/>
    <xf numFmtId="0" fontId="0" fillId="2" borderId="13" xfId="0" applyFill="1" applyBorder="1" applyAlignment="1">
      <alignment horizontal="left"/>
    </xf>
    <xf numFmtId="0" fontId="0" fillId="2" borderId="54" xfId="0" applyFill="1" applyBorder="1" applyAlignment="1">
      <alignment horizontal="left"/>
    </xf>
    <xf numFmtId="0" fontId="0" fillId="2" borderId="3" xfId="0" applyFill="1" applyBorder="1"/>
    <xf numFmtId="0" fontId="0" fillId="2" borderId="4" xfId="0" applyFill="1" applyBorder="1"/>
    <xf numFmtId="0" fontId="0" fillId="15" borderId="1" xfId="0" applyFill="1" applyBorder="1"/>
    <xf numFmtId="0" fontId="0" fillId="4" borderId="1" xfId="0" applyFill="1" applyBorder="1"/>
    <xf numFmtId="0" fontId="17" fillId="0" borderId="45" xfId="0" applyFont="1" applyBorder="1" applyAlignment="1">
      <alignment horizontal="left" vertical="center"/>
    </xf>
    <xf numFmtId="0" fontId="0" fillId="15" borderId="45" xfId="0" applyFill="1" applyBorder="1"/>
    <xf numFmtId="0" fontId="0" fillId="0" borderId="49" xfId="0" applyBorder="1"/>
    <xf numFmtId="0" fontId="1" fillId="0" borderId="18" xfId="0" applyFont="1" applyBorder="1"/>
    <xf numFmtId="0" fontId="0" fillId="0" borderId="41" xfId="0" applyBorder="1"/>
    <xf numFmtId="164" fontId="0" fillId="4" borderId="18" xfId="0" applyNumberFormat="1" applyFill="1" applyBorder="1"/>
    <xf numFmtId="164" fontId="0" fillId="4" borderId="4" xfId="0" applyNumberFormat="1" applyFill="1" applyBorder="1"/>
    <xf numFmtId="0" fontId="4" fillId="0" borderId="35" xfId="0" applyNumberFormat="1" applyFont="1" applyFill="1" applyBorder="1" applyAlignment="1">
      <alignment horizontal="center"/>
    </xf>
    <xf numFmtId="0" fontId="0" fillId="0" borderId="16" xfId="0" applyBorder="1" applyAlignment="1">
      <alignment horizontal="center" vertical="center"/>
    </xf>
    <xf numFmtId="0" fontId="0" fillId="0" borderId="20" xfId="0" applyBorder="1" applyAlignment="1">
      <alignment horizontal="center" vertical="center"/>
    </xf>
    <xf numFmtId="0" fontId="3" fillId="10" borderId="61" xfId="0" applyFont="1" applyFill="1" applyBorder="1"/>
    <xf numFmtId="0" fontId="3" fillId="10" borderId="35" xfId="0" applyFont="1" applyFill="1" applyBorder="1"/>
    <xf numFmtId="0" fontId="3" fillId="10" borderId="70" xfId="0" applyFont="1" applyFill="1" applyBorder="1"/>
    <xf numFmtId="0" fontId="18" fillId="7" borderId="71" xfId="0" applyFont="1" applyFill="1" applyBorder="1"/>
    <xf numFmtId="0" fontId="18" fillId="7" borderId="38" xfId="0" applyFont="1" applyFill="1" applyBorder="1"/>
    <xf numFmtId="0" fontId="18" fillId="7" borderId="44" xfId="0" applyFont="1" applyFill="1" applyBorder="1"/>
    <xf numFmtId="0" fontId="26" fillId="2" borderId="72" xfId="0" applyNumberFormat="1" applyFont="1" applyFill="1" applyBorder="1" applyAlignment="1">
      <alignment horizontal="left" vertical="center" wrapText="1"/>
    </xf>
    <xf numFmtId="0" fontId="26" fillId="2" borderId="73" xfId="0" applyNumberFormat="1" applyFont="1" applyFill="1" applyBorder="1" applyAlignment="1">
      <alignment horizontal="left" vertical="center" wrapText="1"/>
    </xf>
    <xf numFmtId="165" fontId="3" fillId="2" borderId="73" xfId="0" applyNumberFormat="1" applyFont="1" applyFill="1" applyBorder="1"/>
    <xf numFmtId="0" fontId="26" fillId="2" borderId="0" xfId="0" applyNumberFormat="1" applyFont="1" applyFill="1" applyBorder="1"/>
    <xf numFmtId="0" fontId="26" fillId="2" borderId="74" xfId="0" applyNumberFormat="1" applyFont="1" applyFill="1" applyBorder="1"/>
    <xf numFmtId="0" fontId="24" fillId="2" borderId="18" xfId="0" applyNumberFormat="1" applyFont="1" applyFill="1" applyBorder="1" applyAlignment="1">
      <alignment horizontal="right"/>
    </xf>
    <xf numFmtId="0" fontId="24" fillId="2" borderId="4" xfId="0" applyNumberFormat="1" applyFont="1" applyFill="1" applyBorder="1" applyAlignment="1">
      <alignment horizontal="right"/>
    </xf>
    <xf numFmtId="0" fontId="24" fillId="2" borderId="21" xfId="0" applyNumberFormat="1" applyFont="1" applyFill="1" applyBorder="1" applyAlignment="1">
      <alignment horizontal="right"/>
    </xf>
    <xf numFmtId="0" fontId="24" fillId="2" borderId="5" xfId="0" applyNumberFormat="1" applyFont="1" applyFill="1" applyBorder="1" applyAlignment="1">
      <alignment horizontal="right"/>
    </xf>
    <xf numFmtId="0" fontId="18" fillId="2" borderId="21" xfId="0" applyFont="1" applyFill="1" applyBorder="1" applyAlignment="1">
      <alignment horizontal="right"/>
    </xf>
    <xf numFmtId="0" fontId="18" fillId="2" borderId="5" xfId="0" applyFont="1" applyFill="1" applyBorder="1" applyAlignment="1">
      <alignment horizontal="right"/>
    </xf>
    <xf numFmtId="0" fontId="24" fillId="2" borderId="70" xfId="0" applyNumberFormat="1" applyFont="1" applyFill="1" applyBorder="1" applyAlignment="1">
      <alignment horizontal="right"/>
    </xf>
    <xf numFmtId="0" fontId="24" fillId="2" borderId="7" xfId="0" applyNumberFormat="1" applyFont="1" applyFill="1" applyBorder="1" applyAlignment="1">
      <alignment horizontal="right"/>
    </xf>
    <xf numFmtId="165" fontId="3" fillId="2" borderId="19" xfId="0" applyNumberFormat="1" applyFont="1" applyFill="1" applyBorder="1"/>
    <xf numFmtId="0" fontId="0" fillId="2" borderId="9" xfId="0" applyFill="1" applyBorder="1"/>
    <xf numFmtId="0" fontId="0" fillId="2" borderId="48" xfId="0" applyFill="1" applyBorder="1"/>
    <xf numFmtId="164" fontId="0" fillId="4" borderId="34" xfId="0" applyNumberFormat="1" applyFill="1" applyBorder="1"/>
    <xf numFmtId="0" fontId="0" fillId="4" borderId="36" xfId="0" applyFill="1" applyBorder="1"/>
    <xf numFmtId="0" fontId="0" fillId="0" borderId="36" xfId="0" applyBorder="1"/>
    <xf numFmtId="0" fontId="0" fillId="0" borderId="39" xfId="0" applyBorder="1"/>
    <xf numFmtId="164" fontId="0" fillId="15" borderId="5" xfId="0" applyNumberFormat="1" applyFill="1" applyBorder="1"/>
    <xf numFmtId="164" fontId="0" fillId="15" borderId="19" xfId="0" applyNumberFormat="1" applyFill="1" applyBorder="1"/>
    <xf numFmtId="164" fontId="0" fillId="15" borderId="7" xfId="0" applyNumberFormat="1" applyFill="1" applyBorder="1"/>
    <xf numFmtId="0" fontId="0" fillId="3" borderId="0" xfId="0" quotePrefix="1" applyFill="1" applyBorder="1"/>
    <xf numFmtId="0" fontId="26" fillId="2" borderId="9" xfId="0" applyFont="1" applyFill="1" applyBorder="1"/>
    <xf numFmtId="0" fontId="24" fillId="7" borderId="22" xfId="0" applyFont="1" applyFill="1" applyBorder="1"/>
    <xf numFmtId="0" fontId="24" fillId="7" borderId="8" xfId="0" applyFont="1" applyFill="1" applyBorder="1"/>
    <xf numFmtId="0" fontId="24" fillId="7" borderId="48" xfId="0" applyFont="1" applyFill="1" applyBorder="1"/>
    <xf numFmtId="0" fontId="26" fillId="2" borderId="27" xfId="0" applyFont="1" applyFill="1" applyBorder="1"/>
    <xf numFmtId="0" fontId="24" fillId="7" borderId="31" xfId="0" applyFont="1" applyFill="1" applyBorder="1"/>
    <xf numFmtId="0" fontId="24" fillId="7" borderId="32" xfId="0" applyFont="1" applyFill="1" applyBorder="1"/>
    <xf numFmtId="0" fontId="24" fillId="7" borderId="37" xfId="0" applyFont="1" applyFill="1" applyBorder="1"/>
    <xf numFmtId="0" fontId="26" fillId="2" borderId="29" xfId="0" applyFont="1" applyFill="1" applyBorder="1"/>
    <xf numFmtId="0" fontId="24" fillId="7" borderId="60" xfId="0" applyFont="1" applyFill="1" applyBorder="1"/>
    <xf numFmtId="0" fontId="24" fillId="7" borderId="53" xfId="0" applyFont="1" applyFill="1" applyBorder="1"/>
    <xf numFmtId="0" fontId="24" fillId="7" borderId="63" xfId="0" applyFont="1" applyFill="1" applyBorder="1"/>
    <xf numFmtId="0" fontId="26" fillId="2" borderId="31" xfId="0" applyFont="1" applyFill="1" applyBorder="1"/>
    <xf numFmtId="0" fontId="26" fillId="2" borderId="23" xfId="0" applyFont="1" applyFill="1" applyBorder="1"/>
    <xf numFmtId="164" fontId="0" fillId="4" borderId="21" xfId="0" applyNumberFormat="1" applyFill="1" applyBorder="1"/>
    <xf numFmtId="164" fontId="0" fillId="4" borderId="5" xfId="0" applyNumberFormat="1" applyFill="1" applyBorder="1"/>
    <xf numFmtId="164" fontId="0" fillId="4" borderId="38" xfId="0" applyNumberFormat="1" applyFill="1" applyBorder="1"/>
    <xf numFmtId="164" fontId="0" fillId="4" borderId="2" xfId="0" applyNumberFormat="1" applyFill="1" applyBorder="1"/>
    <xf numFmtId="1" fontId="0" fillId="4" borderId="44" xfId="0" applyNumberFormat="1" applyFill="1" applyBorder="1"/>
    <xf numFmtId="1" fontId="3" fillId="2" borderId="29" xfId="0" applyNumberFormat="1" applyFont="1" applyFill="1" applyBorder="1"/>
    <xf numFmtId="1" fontId="3" fillId="2" borderId="60" xfId="0" applyNumberFormat="1" applyFont="1" applyFill="1" applyBorder="1"/>
    <xf numFmtId="1" fontId="3" fillId="2" borderId="52" xfId="0" applyNumberFormat="1" applyFont="1" applyFill="1" applyBorder="1"/>
    <xf numFmtId="1" fontId="18" fillId="7" borderId="31" xfId="0" applyNumberFormat="1" applyFont="1" applyFill="1" applyBorder="1"/>
    <xf numFmtId="1" fontId="18" fillId="7" borderId="32" xfId="0" applyNumberFormat="1" applyFont="1" applyFill="1" applyBorder="1"/>
    <xf numFmtId="1" fontId="18" fillId="7" borderId="37" xfId="0" applyNumberFormat="1" applyFont="1" applyFill="1" applyBorder="1"/>
    <xf numFmtId="0" fontId="26" fillId="2" borderId="32" xfId="0" applyFont="1" applyFill="1" applyBorder="1"/>
    <xf numFmtId="0" fontId="26" fillId="2" borderId="28" xfId="0" applyFont="1" applyFill="1" applyBorder="1"/>
    <xf numFmtId="0" fontId="26" fillId="2" borderId="8" xfId="0" applyFont="1" applyFill="1" applyBorder="1"/>
    <xf numFmtId="0" fontId="26" fillId="2" borderId="10" xfId="0" applyFont="1" applyFill="1" applyBorder="1"/>
    <xf numFmtId="0" fontId="18" fillId="9" borderId="0" xfId="0" applyFont="1" applyFill="1" applyBorder="1"/>
    <xf numFmtId="0" fontId="3" fillId="2" borderId="32" xfId="0" applyFont="1" applyFill="1" applyBorder="1"/>
    <xf numFmtId="0" fontId="3" fillId="2" borderId="28" xfId="0" applyFont="1" applyFill="1" applyBorder="1"/>
    <xf numFmtId="0" fontId="18" fillId="9" borderId="15" xfId="0" applyFont="1" applyFill="1" applyBorder="1"/>
    <xf numFmtId="0" fontId="3" fillId="2" borderId="9" xfId="0" applyFont="1" applyFill="1" applyBorder="1"/>
    <xf numFmtId="0" fontId="3" fillId="2" borderId="8" xfId="0" applyFont="1" applyFill="1" applyBorder="1"/>
    <xf numFmtId="0" fontId="3" fillId="2" borderId="10" xfId="0" applyFont="1" applyFill="1" applyBorder="1"/>
    <xf numFmtId="0" fontId="16" fillId="0" borderId="12" xfId="0" applyFont="1" applyBorder="1" applyAlignment="1">
      <alignment horizontal="center"/>
    </xf>
    <xf numFmtId="0" fontId="16" fillId="0" borderId="23" xfId="0" applyFont="1" applyBorder="1" applyAlignment="1">
      <alignment horizontal="center"/>
    </xf>
    <xf numFmtId="165" fontId="11" fillId="0" borderId="11" xfId="0" applyNumberFormat="1" applyFont="1" applyBorder="1" applyAlignment="1">
      <alignment horizontal="center" vertical="center"/>
    </xf>
    <xf numFmtId="165" fontId="11" fillId="0" borderId="12" xfId="0" applyNumberFormat="1" applyFont="1" applyBorder="1" applyAlignment="1">
      <alignment horizontal="center" vertical="center"/>
    </xf>
    <xf numFmtId="165" fontId="11" fillId="0" borderId="23"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0" fillId="0" borderId="13" xfId="0" applyBorder="1" applyAlignment="1">
      <alignment horizontal="center"/>
    </xf>
    <xf numFmtId="0" fontId="0" fillId="0" borderId="25" xfId="0" applyBorder="1" applyAlignment="1">
      <alignment horizontal="center" vertical="top"/>
    </xf>
    <xf numFmtId="0" fontId="0" fillId="0" borderId="38" xfId="0" applyBorder="1"/>
    <xf numFmtId="0" fontId="0" fillId="0" borderId="40" xfId="0"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xf>
    <xf numFmtId="0" fontId="0" fillId="0" borderId="12" xfId="0" applyBorder="1"/>
    <xf numFmtId="0" fontId="0" fillId="0" borderId="23" xfId="0" applyBorder="1"/>
    <xf numFmtId="0" fontId="0" fillId="0" borderId="34" xfId="0" applyBorder="1" applyAlignment="1">
      <alignment horizontal="center"/>
    </xf>
    <xf numFmtId="0" fontId="0" fillId="0" borderId="5" xfId="0" applyBorder="1" applyAlignment="1">
      <alignment horizontal="center"/>
    </xf>
    <xf numFmtId="0" fontId="0" fillId="0" borderId="47"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15" fillId="6" borderId="32" xfId="0" applyFont="1" applyFill="1" applyBorder="1" applyAlignment="1">
      <alignment horizontal="center"/>
    </xf>
    <xf numFmtId="0" fontId="15" fillId="6" borderId="32" xfId="0" applyFont="1" applyFill="1" applyBorder="1" applyAlignment="1">
      <alignment horizontal="center" wrapText="1"/>
    </xf>
    <xf numFmtId="0" fontId="15" fillId="6" borderId="28" xfId="0" applyFont="1" applyFill="1" applyBorder="1" applyAlignment="1">
      <alignment horizontal="center"/>
    </xf>
    <xf numFmtId="0" fontId="15" fillId="6" borderId="31" xfId="0" applyFont="1" applyFill="1" applyBorder="1" applyAlignment="1">
      <alignment horizontal="center" wrapText="1"/>
    </xf>
    <xf numFmtId="0" fontId="0" fillId="0" borderId="32" xfId="0" applyBorder="1"/>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quotePrefix="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xf>
    <xf numFmtId="0" fontId="4" fillId="0" borderId="19" xfId="0" applyNumberFormat="1" applyFont="1" applyBorder="1"/>
    <xf numFmtId="0" fontId="4" fillId="0" borderId="6" xfId="0" applyNumberFormat="1" applyFont="1" applyBorder="1" applyAlignment="1">
      <alignment horizontal="center"/>
    </xf>
    <xf numFmtId="0" fontId="4" fillId="0" borderId="43" xfId="0" applyNumberFormat="1" applyFont="1" applyBorder="1" applyAlignment="1">
      <alignment horizontal="center"/>
    </xf>
    <xf numFmtId="0" fontId="0" fillId="0" borderId="32" xfId="0" applyFill="1" applyBorder="1"/>
    <xf numFmtId="0" fontId="0" fillId="0" borderId="28" xfId="0" applyFill="1" applyBorder="1" applyAlignment="1">
      <alignment horizontal="center"/>
    </xf>
    <xf numFmtId="0" fontId="15" fillId="6" borderId="27" xfId="0" applyFont="1" applyFill="1" applyBorder="1" applyAlignment="1">
      <alignment horizontal="center" vertical="center"/>
    </xf>
    <xf numFmtId="0" fontId="0" fillId="0" borderId="12" xfId="0" applyBorder="1" applyAlignment="1">
      <alignment horizontal="center"/>
    </xf>
    <xf numFmtId="0" fontId="0" fillId="0" borderId="12" xfId="0" applyBorder="1" applyAlignment="1"/>
    <xf numFmtId="0" fontId="0" fillId="0" borderId="23" xfId="0" applyBorder="1" applyAlignment="1"/>
    <xf numFmtId="0" fontId="16" fillId="0" borderId="11" xfId="0" applyFont="1" applyBorder="1" applyAlignment="1">
      <alignment horizontal="center" vertical="center"/>
    </xf>
    <xf numFmtId="0" fontId="15" fillId="6" borderId="9" xfId="0" applyFont="1" applyFill="1" applyBorder="1" applyAlignment="1">
      <alignment horizontal="center" vertical="center"/>
    </xf>
    <xf numFmtId="0" fontId="15" fillId="6" borderId="1" xfId="0" applyFont="1" applyFill="1" applyBorder="1" applyAlignment="1">
      <alignment horizontal="center" vertical="center"/>
    </xf>
    <xf numFmtId="0" fontId="4" fillId="0" borderId="2" xfId="0" applyNumberFormat="1" applyFont="1" applyFill="1" applyBorder="1" applyAlignment="1">
      <alignment horizontal="center"/>
    </xf>
    <xf numFmtId="0" fontId="0" fillId="0" borderId="55" xfId="0" applyFill="1" applyBorder="1" applyAlignment="1">
      <alignment horizontal="center" vertical="center"/>
    </xf>
    <xf numFmtId="165" fontId="0" fillId="0" borderId="61" xfId="0" applyNumberFormat="1" applyFont="1" applyFill="1" applyBorder="1"/>
    <xf numFmtId="0" fontId="4" fillId="0" borderId="38" xfId="0" applyNumberFormat="1" applyFont="1" applyFill="1" applyBorder="1" applyAlignment="1">
      <alignment horizontal="left" vertical="center" wrapText="1"/>
    </xf>
    <xf numFmtId="0" fontId="4" fillId="0" borderId="38" xfId="0" applyNumberFormat="1" applyFont="1" applyFill="1" applyBorder="1" applyAlignment="1">
      <alignment horizontal="center" vertical="center" wrapText="1"/>
    </xf>
    <xf numFmtId="0" fontId="4" fillId="0" borderId="38" xfId="0" applyNumberFormat="1" applyFont="1" applyFill="1" applyBorder="1" applyAlignment="1">
      <alignment horizontal="center"/>
    </xf>
    <xf numFmtId="0" fontId="4" fillId="0" borderId="34" xfId="0" applyNumberFormat="1" applyFont="1" applyFill="1" applyBorder="1" applyAlignment="1">
      <alignment horizontal="center"/>
    </xf>
    <xf numFmtId="0" fontId="0" fillId="0" borderId="25" xfId="0" applyFill="1" applyBorder="1" applyAlignment="1">
      <alignment horizontal="center" vertical="center"/>
    </xf>
    <xf numFmtId="165" fontId="0" fillId="0" borderId="21" xfId="0" applyNumberFormat="1" applyFont="1" applyFill="1" applyBorder="1"/>
    <xf numFmtId="0" fontId="4" fillId="0" borderId="2" xfId="0" applyNumberFormat="1" applyFont="1" applyFill="1" applyBorder="1" applyAlignment="1">
      <alignment horizontal="left" vertical="center" wrapText="1"/>
    </xf>
    <xf numFmtId="0" fontId="4" fillId="0" borderId="5" xfId="0" applyNumberFormat="1" applyFont="1" applyFill="1" applyBorder="1" applyAlignment="1">
      <alignment horizontal="center"/>
    </xf>
    <xf numFmtId="0" fontId="0" fillId="0" borderId="57" xfId="0" applyFill="1" applyBorder="1" applyAlignment="1">
      <alignment horizontal="center" vertical="center"/>
    </xf>
    <xf numFmtId="0" fontId="0" fillId="0" borderId="71" xfId="0" applyFill="1" applyBorder="1" applyAlignment="1">
      <alignment horizontal="left" vertical="center"/>
    </xf>
    <xf numFmtId="0" fontId="0" fillId="0" borderId="38" xfId="0" applyFill="1" applyBorder="1" applyAlignment="1">
      <alignment horizontal="center" vertical="center"/>
    </xf>
    <xf numFmtId="0" fontId="0" fillId="0" borderId="34" xfId="0" applyFill="1" applyBorder="1" applyAlignment="1">
      <alignment horizontal="center" vertical="center"/>
    </xf>
    <xf numFmtId="0" fontId="10" fillId="11" borderId="50" xfId="0" applyFont="1" applyFill="1" applyBorder="1"/>
    <xf numFmtId="0" fontId="22" fillId="11" borderId="13" xfId="0" applyFont="1" applyFill="1" applyBorder="1"/>
    <xf numFmtId="0" fontId="10" fillId="11" borderId="13" xfId="0" applyFont="1" applyFill="1" applyBorder="1"/>
    <xf numFmtId="0" fontId="3" fillId="11" borderId="13" xfId="0" applyFont="1" applyFill="1" applyBorder="1"/>
    <xf numFmtId="0" fontId="21" fillId="11" borderId="13" xfId="0" applyFont="1" applyFill="1" applyBorder="1"/>
    <xf numFmtId="0" fontId="7" fillId="11" borderId="13" xfId="0" applyFont="1" applyFill="1" applyBorder="1"/>
    <xf numFmtId="0" fontId="21" fillId="11" borderId="54" xfId="0" applyFont="1" applyFill="1" applyBorder="1"/>
    <xf numFmtId="0" fontId="21" fillId="11" borderId="55" xfId="0" applyFont="1" applyFill="1" applyBorder="1"/>
    <xf numFmtId="0" fontId="21" fillId="11" borderId="0" xfId="0" applyFont="1" applyFill="1" applyBorder="1"/>
    <xf numFmtId="0" fontId="3" fillId="11" borderId="0" xfId="0" applyFont="1" applyFill="1" applyBorder="1"/>
    <xf numFmtId="0" fontId="21" fillId="11" borderId="56" xfId="0" applyFont="1" applyFill="1" applyBorder="1"/>
    <xf numFmtId="0" fontId="1" fillId="11" borderId="0" xfId="0" applyFont="1" applyFill="1" applyBorder="1"/>
    <xf numFmtId="3" fontId="30" fillId="11" borderId="0" xfId="0" applyNumberFormat="1" applyFont="1" applyFill="1" applyBorder="1"/>
    <xf numFmtId="0" fontId="21" fillId="11" borderId="51" xfId="0" applyFont="1" applyFill="1" applyBorder="1"/>
    <xf numFmtId="1" fontId="30" fillId="11" borderId="15" xfId="0" applyNumberFormat="1" applyFont="1" applyFill="1" applyBorder="1"/>
    <xf numFmtId="1" fontId="30" fillId="11" borderId="0" xfId="0" applyNumberFormat="1" applyFont="1" applyFill="1" applyBorder="1"/>
    <xf numFmtId="0" fontId="42" fillId="3" borderId="0" xfId="0" applyFont="1" applyFill="1"/>
    <xf numFmtId="0" fontId="9" fillId="0" borderId="0" xfId="0" applyFont="1"/>
    <xf numFmtId="0" fontId="42" fillId="3" borderId="0" xfId="0" applyFont="1" applyFill="1" applyAlignment="1">
      <alignment horizontal="center"/>
    </xf>
    <xf numFmtId="0" fontId="43" fillId="3" borderId="0" xfId="0" applyFont="1" applyFill="1" applyAlignment="1">
      <alignment horizontal="center"/>
    </xf>
    <xf numFmtId="0" fontId="43" fillId="0" borderId="0" xfId="0" applyFont="1" applyFill="1" applyBorder="1" applyAlignment="1">
      <alignment horizontal="center"/>
    </xf>
    <xf numFmtId="0" fontId="43" fillId="0" borderId="0" xfId="0" applyFont="1" applyFill="1" applyBorder="1" applyAlignment="1">
      <alignment horizontal="left"/>
    </xf>
    <xf numFmtId="0" fontId="43" fillId="0" borderId="0" xfId="0" applyFont="1" applyFill="1" applyBorder="1"/>
    <xf numFmtId="0" fontId="9" fillId="0" borderId="0" xfId="0" applyFont="1" applyBorder="1"/>
    <xf numFmtId="0" fontId="43" fillId="0" borderId="0" xfId="0" quotePrefix="1" applyFont="1" applyFill="1" applyBorder="1" applyAlignment="1">
      <alignment horizontal="right"/>
    </xf>
    <xf numFmtId="0" fontId="44" fillId="0" borderId="0" xfId="0" applyFont="1" applyFill="1" applyBorder="1" applyAlignment="1">
      <alignment horizontal="left"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164" fontId="43" fillId="0" borderId="0" xfId="0" applyNumberFormat="1" applyFont="1" applyFill="1" applyBorder="1"/>
    <xf numFmtId="0" fontId="43" fillId="0" borderId="0" xfId="0" quotePrefix="1" applyFont="1" applyFill="1" applyBorder="1"/>
    <xf numFmtId="0" fontId="43" fillId="0" borderId="0" xfId="0" quotePrefix="1" applyFont="1" applyFill="1" applyBorder="1" applyAlignment="1">
      <alignment horizontal="center"/>
    </xf>
    <xf numFmtId="164" fontId="43" fillId="0" borderId="0" xfId="0" quotePrefix="1" applyNumberFormat="1" applyFont="1" applyFill="1" applyBorder="1" applyAlignment="1">
      <alignment horizontal="right"/>
    </xf>
    <xf numFmtId="164" fontId="43" fillId="0" borderId="0" xfId="0" quotePrefix="1" applyNumberFormat="1" applyFont="1" applyFill="1" applyBorder="1"/>
    <xf numFmtId="0" fontId="43" fillId="0" borderId="0" xfId="0" applyFont="1" applyFill="1" applyBorder="1" applyAlignment="1">
      <alignment horizontal="right"/>
    </xf>
    <xf numFmtId="0" fontId="42" fillId="0" borderId="0" xfId="0" applyFont="1" applyBorder="1"/>
    <xf numFmtId="0" fontId="43" fillId="0" borderId="0" xfId="0" applyFont="1" applyBorder="1"/>
    <xf numFmtId="0" fontId="43" fillId="0" borderId="0" xfId="0" applyFont="1" applyFill="1" applyBorder="1" applyAlignment="1">
      <alignment wrapText="1"/>
    </xf>
    <xf numFmtId="0" fontId="42" fillId="3" borderId="0" xfId="0" applyFont="1" applyFill="1" applyBorder="1"/>
    <xf numFmtId="0" fontId="45" fillId="3" borderId="0" xfId="0" applyFont="1" applyFill="1" applyBorder="1"/>
    <xf numFmtId="0" fontId="43" fillId="3" borderId="0" xfId="0" applyFont="1" applyFill="1" applyBorder="1"/>
    <xf numFmtId="0" fontId="45" fillId="3" borderId="0" xfId="0" applyFont="1" applyFill="1"/>
    <xf numFmtId="0" fontId="0" fillId="0" borderId="16"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75" xfId="0" applyBorder="1" applyAlignment="1">
      <alignment horizontal="center"/>
    </xf>
    <xf numFmtId="0" fontId="0" fillId="0" borderId="20" xfId="0" applyFill="1" applyBorder="1" applyAlignment="1">
      <alignment horizontal="center"/>
    </xf>
    <xf numFmtId="0" fontId="0" fillId="0" borderId="76" xfId="0" applyBorder="1" applyAlignment="1">
      <alignment horizontal="center"/>
    </xf>
    <xf numFmtId="0" fontId="0" fillId="0" borderId="16" xfId="0" applyFill="1" applyBorder="1" applyAlignment="1">
      <alignment horizontal="center"/>
    </xf>
    <xf numFmtId="0" fontId="0" fillId="0" borderId="75" xfId="0" applyFill="1" applyBorder="1" applyAlignment="1">
      <alignment horizontal="center"/>
    </xf>
    <xf numFmtId="0" fontId="0" fillId="0" borderId="33" xfId="0" applyBorder="1"/>
    <xf numFmtId="0" fontId="0" fillId="0" borderId="46" xfId="0" applyBorder="1"/>
    <xf numFmtId="0" fontId="0" fillId="0" borderId="29" xfId="0" applyBorder="1"/>
    <xf numFmtId="0" fontId="0" fillId="0" borderId="53" xfId="0" applyBorder="1"/>
    <xf numFmtId="0" fontId="0" fillId="0" borderId="30" xfId="0" applyBorder="1" applyAlignment="1">
      <alignment horizontal="center"/>
    </xf>
    <xf numFmtId="0" fontId="15" fillId="6" borderId="11" xfId="0" applyFont="1" applyFill="1" applyBorder="1" applyAlignment="1">
      <alignment horizontal="center" vertical="center"/>
    </xf>
    <xf numFmtId="0" fontId="0" fillId="0" borderId="17" xfId="0" applyFill="1" applyBorder="1" applyAlignment="1">
      <alignment horizontal="center"/>
    </xf>
    <xf numFmtId="0" fontId="0" fillId="0" borderId="14" xfId="0" applyBorder="1" applyAlignment="1">
      <alignment horizontal="center"/>
    </xf>
    <xf numFmtId="0" fontId="0" fillId="17" borderId="0" xfId="0" applyFill="1"/>
    <xf numFmtId="0" fontId="1" fillId="17" borderId="0" xfId="0" applyFont="1" applyFill="1"/>
    <xf numFmtId="0" fontId="21" fillId="17" borderId="50" xfId="0" applyFont="1" applyFill="1" applyBorder="1"/>
    <xf numFmtId="0" fontId="21" fillId="17" borderId="13" xfId="0" applyFont="1" applyFill="1" applyBorder="1"/>
    <xf numFmtId="0" fontId="21" fillId="17" borderId="54" xfId="0" applyFont="1" applyFill="1" applyBorder="1"/>
    <xf numFmtId="0" fontId="22" fillId="17" borderId="55" xfId="0" applyFont="1" applyFill="1" applyBorder="1"/>
    <xf numFmtId="0" fontId="21" fillId="17" borderId="55" xfId="0" applyFont="1" applyFill="1" applyBorder="1"/>
    <xf numFmtId="0" fontId="21" fillId="17" borderId="51" xfId="0" applyFont="1" applyFill="1" applyBorder="1"/>
    <xf numFmtId="0" fontId="21" fillId="17" borderId="0" xfId="0" applyFont="1" applyFill="1" applyBorder="1"/>
    <xf numFmtId="0" fontId="21" fillId="17" borderId="56" xfId="0" applyFont="1" applyFill="1" applyBorder="1"/>
    <xf numFmtId="0" fontId="21" fillId="17" borderId="15" xfId="0" applyFont="1" applyFill="1" applyBorder="1"/>
    <xf numFmtId="0" fontId="21" fillId="17" borderId="52" xfId="0" applyFont="1" applyFill="1" applyBorder="1"/>
    <xf numFmtId="0" fontId="20" fillId="17" borderId="50" xfId="0" applyFont="1" applyFill="1" applyBorder="1"/>
    <xf numFmtId="0" fontId="20" fillId="17" borderId="13" xfId="0" applyFont="1" applyFill="1" applyBorder="1"/>
    <xf numFmtId="0" fontId="28" fillId="17" borderId="13" xfId="0" applyFont="1" applyFill="1" applyBorder="1"/>
    <xf numFmtId="0" fontId="40" fillId="17" borderId="13" xfId="0" applyFont="1" applyFill="1" applyBorder="1"/>
    <xf numFmtId="0" fontId="20" fillId="17" borderId="54" xfId="0" applyFont="1" applyFill="1" applyBorder="1"/>
    <xf numFmtId="0" fontId="20" fillId="17" borderId="55" xfId="0" applyFont="1" applyFill="1" applyBorder="1"/>
    <xf numFmtId="0" fontId="20" fillId="17" borderId="0" xfId="0" applyFont="1" applyFill="1" applyBorder="1"/>
    <xf numFmtId="0" fontId="20" fillId="17" borderId="56" xfId="0" applyFont="1" applyFill="1" applyBorder="1"/>
    <xf numFmtId="0" fontId="20" fillId="17" borderId="15" xfId="0" applyFont="1" applyFill="1" applyBorder="1"/>
    <xf numFmtId="0" fontId="20" fillId="17" borderId="52" xfId="0" applyFont="1" applyFill="1" applyBorder="1"/>
    <xf numFmtId="0" fontId="20" fillId="17" borderId="51" xfId="0" applyFont="1" applyFill="1" applyBorder="1"/>
    <xf numFmtId="0" fontId="20" fillId="17" borderId="56" xfId="0" applyFont="1" applyFill="1" applyBorder="1" applyAlignment="1">
      <alignment horizontal="left" vertical="center"/>
    </xf>
    <xf numFmtId="0" fontId="0" fillId="3" borderId="0" xfId="0" applyFill="1" applyAlignment="1"/>
    <xf numFmtId="0" fontId="0" fillId="0" borderId="0" xfId="0" applyAlignment="1"/>
    <xf numFmtId="1" fontId="3" fillId="16" borderId="2" xfId="0" applyNumberFormat="1" applyFont="1" applyFill="1" applyBorder="1" applyAlignment="1">
      <alignment horizontal="right"/>
    </xf>
    <xf numFmtId="3" fontId="3" fillId="16" borderId="2" xfId="0" applyNumberFormat="1" applyFont="1" applyFill="1" applyBorder="1" applyAlignment="1">
      <alignment horizontal="right"/>
    </xf>
    <xf numFmtId="0" fontId="10" fillId="3" borderId="43" xfId="0" applyFont="1" applyFill="1" applyBorder="1" applyAlignment="1"/>
    <xf numFmtId="0" fontId="10" fillId="0" borderId="39" xfId="0" applyFont="1" applyBorder="1" applyAlignment="1"/>
    <xf numFmtId="1" fontId="10" fillId="3" borderId="42" xfId="0" applyNumberFormat="1" applyFont="1" applyFill="1" applyBorder="1" applyAlignment="1"/>
    <xf numFmtId="0" fontId="10" fillId="0" borderId="36" xfId="0" applyFont="1" applyBorder="1" applyAlignment="1"/>
    <xf numFmtId="1" fontId="10" fillId="3" borderId="43" xfId="0" applyNumberFormat="1" applyFont="1" applyFill="1" applyBorder="1" applyAlignment="1"/>
    <xf numFmtId="0" fontId="3" fillId="11" borderId="13" xfId="0" applyFont="1" applyFill="1" applyBorder="1" applyAlignment="1">
      <alignment horizontal="center"/>
    </xf>
    <xf numFmtId="0" fontId="1" fillId="11" borderId="13" xfId="0" applyFont="1" applyFill="1" applyBorder="1" applyAlignment="1">
      <alignment horizontal="center"/>
    </xf>
    <xf numFmtId="0" fontId="10" fillId="3" borderId="42" xfId="0" applyFont="1" applyFill="1" applyBorder="1" applyAlignment="1"/>
    <xf numFmtId="0" fontId="27" fillId="2" borderId="11" xfId="0" applyFont="1" applyFill="1" applyBorder="1" applyAlignment="1"/>
    <xf numFmtId="0" fontId="27" fillId="2" borderId="12" xfId="0" applyFont="1" applyFill="1" applyBorder="1" applyAlignment="1"/>
    <xf numFmtId="0" fontId="27" fillId="2" borderId="23" xfId="0" applyFont="1" applyFill="1" applyBorder="1" applyAlignment="1"/>
    <xf numFmtId="0" fontId="27" fillId="8" borderId="50" xfId="0" applyFont="1" applyFill="1" applyBorder="1" applyAlignment="1">
      <alignment vertical="center"/>
    </xf>
    <xf numFmtId="0" fontId="27" fillId="0" borderId="54"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3" fillId="2" borderId="18" xfId="0" applyFont="1" applyFill="1" applyBorder="1" applyAlignment="1">
      <alignment horizontal="center"/>
    </xf>
    <xf numFmtId="0" fontId="3" fillId="2" borderId="4" xfId="0" applyFont="1" applyFill="1" applyBorder="1" applyAlignment="1">
      <alignment horizontal="center"/>
    </xf>
    <xf numFmtId="0" fontId="27" fillId="2" borderId="50"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55"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56" xfId="0" applyFont="1" applyFill="1" applyBorder="1" applyAlignment="1">
      <alignment horizontal="center" vertical="center"/>
    </xf>
    <xf numFmtId="0" fontId="32" fillId="0" borderId="54" xfId="0" applyFont="1" applyBorder="1" applyAlignment="1">
      <alignment vertical="center"/>
    </xf>
    <xf numFmtId="0" fontId="32" fillId="0" borderId="51" xfId="0" applyFont="1" applyBorder="1" applyAlignment="1">
      <alignment vertical="center"/>
    </xf>
    <xf numFmtId="0" fontId="32" fillId="0" borderId="52" xfId="0" applyFont="1" applyBorder="1" applyAlignment="1">
      <alignment vertical="center"/>
    </xf>
    <xf numFmtId="0" fontId="3" fillId="2" borderId="16" xfId="0" applyFont="1" applyFill="1" applyBorder="1" applyAlignment="1">
      <alignment horizontal="center"/>
    </xf>
    <xf numFmtId="0" fontId="3" fillId="2" borderId="66" xfId="0" applyFont="1" applyFill="1" applyBorder="1" applyAlignment="1">
      <alignment horizontal="center"/>
    </xf>
    <xf numFmtId="0" fontId="10" fillId="4" borderId="50" xfId="0" applyFont="1" applyFill="1" applyBorder="1" applyAlignment="1">
      <alignment horizontal="center"/>
    </xf>
    <xf numFmtId="0" fontId="7" fillId="4" borderId="54" xfId="0" applyFont="1" applyFill="1" applyBorder="1" applyAlignment="1">
      <alignment horizontal="center"/>
    </xf>
    <xf numFmtId="0" fontId="8" fillId="2" borderId="11" xfId="0" applyFont="1" applyFill="1" applyBorder="1" applyAlignment="1"/>
    <xf numFmtId="0" fontId="7" fillId="2" borderId="23" xfId="0" applyFont="1" applyFill="1" applyBorder="1" applyAlignment="1"/>
    <xf numFmtId="0" fontId="7" fillId="0" borderId="23" xfId="0" applyFont="1" applyBorder="1" applyAlignment="1"/>
    <xf numFmtId="0" fontId="27" fillId="8" borderId="11" xfId="0" applyFont="1" applyFill="1" applyBorder="1" applyAlignment="1"/>
    <xf numFmtId="0" fontId="27" fillId="8" borderId="12" xfId="0" applyFont="1" applyFill="1" applyBorder="1" applyAlignment="1"/>
    <xf numFmtId="0" fontId="27" fillId="8" borderId="23" xfId="0" applyFont="1" applyFill="1" applyBorder="1" applyAlignment="1"/>
    <xf numFmtId="0" fontId="15" fillId="6" borderId="50" xfId="0" applyFont="1" applyFill="1" applyBorder="1" applyAlignment="1">
      <alignment horizontal="center" vertical="center" wrapText="1"/>
    </xf>
    <xf numFmtId="0" fontId="0" fillId="0" borderId="51" xfId="0" applyBorder="1" applyAlignment="1">
      <alignment vertical="center"/>
    </xf>
    <xf numFmtId="0" fontId="0" fillId="0" borderId="55" xfId="0" applyBorder="1" applyAlignment="1">
      <alignment vertical="center"/>
    </xf>
    <xf numFmtId="0" fontId="3" fillId="0" borderId="0" xfId="0" applyFont="1" applyAlignment="1">
      <alignment horizontal="center"/>
    </xf>
    <xf numFmtId="0" fontId="0" fillId="0" borderId="50" xfId="0" applyBorder="1" applyAlignment="1">
      <alignment horizontal="center"/>
    </xf>
    <xf numFmtId="0" fontId="0" fillId="0" borderId="13" xfId="0" applyBorder="1" applyAlignment="1">
      <alignment horizontal="center"/>
    </xf>
    <xf numFmtId="0" fontId="0" fillId="0" borderId="54" xfId="0" applyBorder="1" applyAlignment="1">
      <alignment horizontal="center"/>
    </xf>
    <xf numFmtId="0" fontId="0" fillId="2" borderId="11" xfId="0" applyFill="1" applyBorder="1" applyAlignment="1">
      <alignment horizontal="left"/>
    </xf>
    <xf numFmtId="0" fontId="0" fillId="2" borderId="12" xfId="0" applyFill="1" applyBorder="1" applyAlignment="1">
      <alignment horizontal="left"/>
    </xf>
    <xf numFmtId="0" fontId="0" fillId="2" borderId="23" xfId="0" applyFill="1" applyBorder="1" applyAlignment="1">
      <alignment horizontal="left"/>
    </xf>
  </cellXfs>
  <cellStyles count="1">
    <cellStyle name="Normal" xfId="0" builtinId="0"/>
  </cellStyles>
  <dxfs count="2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99FF"/>
      <color rgb="FFCCECFF"/>
      <color rgb="FF0000FF"/>
      <color rgb="FF99FF99"/>
      <color rgb="FF00FF00"/>
      <color rgb="FFFFFF99"/>
      <color rgb="FFBAFF9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76200</xdr:colOff>
      <xdr:row>5</xdr:row>
      <xdr:rowOff>161924</xdr:rowOff>
    </xdr:from>
    <xdr:to>
      <xdr:col>32</xdr:col>
      <xdr:colOff>238125</xdr:colOff>
      <xdr:row>46</xdr:row>
      <xdr:rowOff>171449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1000" y="990599"/>
          <a:ext cx="7591425" cy="782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15000"/>
            </a:lnSpc>
            <a:spcBef>
              <a:spcPts val="0"/>
            </a:spcBef>
            <a:spcAft>
              <a:spcPts val="0"/>
            </a:spcAft>
          </a:pPr>
          <a:r>
            <a:rPr lang="en-US" sz="1800" b="1">
              <a:effectLst/>
              <a:latin typeface="+mn-lt"/>
              <a:ea typeface="Times New Roman"/>
              <a:cs typeface="Times New Roman"/>
            </a:rPr>
            <a:t>Power Supply Calculator</a:t>
          </a:r>
          <a:endParaRPr lang="en-US" sz="1400">
            <a:effectLst/>
            <a:latin typeface="+mn-lt"/>
            <a:ea typeface="Times New Roman"/>
            <a:cs typeface="Times New Roman"/>
          </a:endParaRPr>
        </a:p>
        <a:p>
          <a:pPr marL="0" marR="0" algn="ctr">
            <a:lnSpc>
              <a:spcPct val="115000"/>
            </a:lnSpc>
            <a:spcBef>
              <a:spcPts val="0"/>
            </a:spcBef>
            <a:spcAft>
              <a:spcPts val="0"/>
            </a:spcAft>
          </a:pPr>
          <a:r>
            <a:rPr lang="en-US" sz="1800" b="1">
              <a:effectLst/>
              <a:latin typeface="+mn-lt"/>
              <a:ea typeface="Times New Roman"/>
              <a:cs typeface="Times New Roman"/>
            </a:rPr>
            <a:t>VSP 8608 </a:t>
          </a:r>
          <a:endParaRPr lang="en-US" sz="1400">
            <a:effectLst/>
            <a:latin typeface="+mn-lt"/>
            <a:ea typeface="Times New Roman"/>
            <a:cs typeface="Times New Roman"/>
          </a:endParaRPr>
        </a:p>
        <a:p>
          <a:pPr marL="0" marR="0" algn="ctr">
            <a:lnSpc>
              <a:spcPct val="115000"/>
            </a:lnSpc>
            <a:spcBef>
              <a:spcPts val="0"/>
            </a:spcBef>
            <a:spcAft>
              <a:spcPts val="0"/>
            </a:spcAft>
          </a:pPr>
          <a:r>
            <a:rPr lang="en-US" sz="1100" b="1">
              <a:effectLst/>
              <a:latin typeface="+mn-lt"/>
              <a:ea typeface="Times New Roman"/>
              <a:cs typeface="Times New Roman"/>
            </a:rPr>
            <a:t>Version 3.0 – October</a:t>
          </a:r>
          <a:r>
            <a:rPr lang="en-US" sz="1100" b="1" baseline="0">
              <a:effectLst/>
              <a:latin typeface="+mn-lt"/>
              <a:ea typeface="Times New Roman"/>
              <a:cs typeface="Times New Roman"/>
            </a:rPr>
            <a:t> 15,2019</a:t>
          </a:r>
          <a:endParaRPr lang="en-US" sz="1400">
            <a:effectLst/>
            <a:latin typeface="+mn-lt"/>
            <a:ea typeface="Times New Roman"/>
            <a:cs typeface="Times New Roman"/>
          </a:endParaRPr>
        </a:p>
        <a:p>
          <a:pPr marL="0" marR="0" algn="ctr">
            <a:lnSpc>
              <a:spcPct val="115000"/>
            </a:lnSpc>
            <a:spcBef>
              <a:spcPts val="0"/>
            </a:spcBef>
            <a:spcAft>
              <a:spcPts val="0"/>
            </a:spcAft>
          </a:pPr>
          <a:r>
            <a:rPr lang="en-US" sz="1100" b="1">
              <a:effectLst/>
              <a:latin typeface="+mn-lt"/>
              <a:ea typeface="Times New Roman"/>
              <a:cs typeface="Times New Roman"/>
            </a:rPr>
            <a:t>Document: NN47229-500</a:t>
          </a:r>
          <a:endParaRPr lang="en-US" sz="1400">
            <a:effectLst/>
            <a:latin typeface="+mn-lt"/>
            <a:ea typeface="Times New Roman"/>
            <a:cs typeface="Times New Roman"/>
          </a:endParaRPr>
        </a:p>
        <a:p>
          <a:pPr marL="0" marR="0">
            <a:lnSpc>
              <a:spcPct val="115000"/>
            </a:lnSpc>
            <a:spcBef>
              <a:spcPts val="0"/>
            </a:spcBef>
            <a:spcAft>
              <a:spcPts val="0"/>
            </a:spcAft>
          </a:pPr>
          <a:r>
            <a:rPr lang="en-US" sz="1600" b="1">
              <a:effectLst/>
              <a:latin typeface="+mn-lt"/>
              <a:ea typeface="Times New Roman"/>
              <a:cs typeface="Times New Roman"/>
            </a:rPr>
            <a:t>Using the power supply calculator tool </a:t>
          </a:r>
          <a:endParaRPr lang="en-US" sz="1400">
            <a:effectLst/>
            <a:latin typeface="+mn-lt"/>
            <a:ea typeface="Times New Roman"/>
            <a:cs typeface="Times New Roman"/>
          </a:endParaRPr>
        </a:p>
        <a:p>
          <a:pPr marL="457200" marR="0">
            <a:lnSpc>
              <a:spcPct val="115000"/>
            </a:lnSpc>
            <a:spcBef>
              <a:spcPts val="0"/>
            </a:spcBef>
            <a:spcAft>
              <a:spcPts val="1000"/>
            </a:spcAft>
          </a:pPr>
          <a:r>
            <a:rPr lang="en-US" sz="1100">
              <a:effectLst/>
              <a:latin typeface="+mn-lt"/>
              <a:ea typeface="Times New Roman"/>
              <a:cs typeface="Times New Roman"/>
            </a:rPr>
            <a:t>The Extreme</a:t>
          </a:r>
          <a:r>
            <a:rPr lang="en-US" sz="1100" baseline="0">
              <a:effectLst/>
              <a:latin typeface="+mn-lt"/>
              <a:ea typeface="Times New Roman"/>
              <a:cs typeface="Times New Roman"/>
            </a:rPr>
            <a:t> Networks </a:t>
          </a:r>
          <a:r>
            <a:rPr lang="en-US" sz="1100">
              <a:effectLst/>
              <a:latin typeface="+mn-lt"/>
              <a:ea typeface="Times New Roman"/>
              <a:cs typeface="Times New Roman"/>
            </a:rPr>
            <a:t>VSP 8608 power supply calculator tool will help you determine the power requirement when configuring the chassis, IOC modules, switch fabrics, Optical transceivers, and power supplies.   You can use this tool to calculate the available power from the power supplies and the power consumption for each IOC module and each populated port. The results provide typical and maximum power consumption. This helps you to determine your power reserve (power margin) to ensure you do not exceed the maximum power allotted for all power supplies.</a:t>
          </a:r>
          <a:endParaRPr lang="en-US" sz="1400">
            <a:effectLst/>
            <a:latin typeface="+mn-lt"/>
            <a:ea typeface="Times New Roman"/>
            <a:cs typeface="Times New Roman"/>
          </a:endParaRPr>
        </a:p>
        <a:p>
          <a:pPr marL="0" marR="0">
            <a:lnSpc>
              <a:spcPct val="115000"/>
            </a:lnSpc>
            <a:spcBef>
              <a:spcPts val="0"/>
            </a:spcBef>
            <a:spcAft>
              <a:spcPts val="0"/>
            </a:spcAft>
          </a:pPr>
          <a:r>
            <a:rPr lang="en-US" sz="1600" b="1">
              <a:effectLst/>
              <a:latin typeface="+mn-lt"/>
              <a:ea typeface="Times New Roman"/>
              <a:cs typeface="Times New Roman"/>
            </a:rPr>
            <a:t>Prerequisite</a:t>
          </a:r>
          <a:r>
            <a:rPr lang="en-US" sz="1600">
              <a:effectLst/>
              <a:latin typeface="+mn-lt"/>
              <a:ea typeface="Times New Roman"/>
              <a:cs typeface="Times New Roman"/>
            </a:rPr>
            <a:t>:</a:t>
          </a:r>
          <a:r>
            <a:rPr lang="en-US" sz="1100">
              <a:effectLst/>
              <a:latin typeface="+mn-lt"/>
              <a:ea typeface="Times New Roman"/>
              <a:cs typeface="Times New Roman"/>
            </a:rPr>
            <a:t>  </a:t>
          </a:r>
          <a:endParaRPr lang="en-US" sz="1400">
            <a:effectLst/>
            <a:latin typeface="+mn-lt"/>
            <a:ea typeface="Times New Roman"/>
            <a:cs typeface="Times New Roman"/>
          </a:endParaRPr>
        </a:p>
        <a:p>
          <a:pPr marL="457200" marR="0">
            <a:lnSpc>
              <a:spcPct val="115000"/>
            </a:lnSpc>
            <a:spcBef>
              <a:spcPts val="0"/>
            </a:spcBef>
            <a:spcAft>
              <a:spcPts val="0"/>
            </a:spcAft>
          </a:pPr>
          <a:r>
            <a:rPr lang="en-US" sz="1100">
              <a:effectLst/>
              <a:latin typeface="+mn-lt"/>
              <a:ea typeface="Times New Roman"/>
              <a:cs typeface="Times New Roman"/>
            </a:rPr>
            <a:t>You require a basic knowledge of the various transceiver types and quantity used with each line card.  This tool does not determine if inappropriate port devices are selected for a card, and does not check for incorrect quantities of port devices selected.</a:t>
          </a:r>
          <a:endParaRPr lang="en-US" sz="1400">
            <a:effectLst/>
            <a:latin typeface="+mn-lt"/>
            <a:ea typeface="Times New Roman"/>
            <a:cs typeface="Times New Roman"/>
          </a:endParaRPr>
        </a:p>
        <a:p>
          <a:pPr marL="457200" marR="0">
            <a:lnSpc>
              <a:spcPct val="115000"/>
            </a:lnSpc>
            <a:spcBef>
              <a:spcPts val="0"/>
            </a:spcBef>
            <a:spcAft>
              <a:spcPts val="0"/>
            </a:spcAft>
          </a:pPr>
          <a:r>
            <a:rPr lang="en-US" sz="1100">
              <a:effectLst/>
              <a:latin typeface="+mn-lt"/>
              <a:ea typeface="Times New Roman"/>
              <a:cs typeface="Times New Roman"/>
            </a:rPr>
            <a:t> </a:t>
          </a:r>
          <a:endParaRPr lang="en-US" sz="1400">
            <a:effectLst/>
            <a:latin typeface="+mn-lt"/>
            <a:ea typeface="Times New Roman"/>
            <a:cs typeface="Times New Roman"/>
          </a:endParaRPr>
        </a:p>
        <a:p>
          <a:pPr marL="0" marR="0">
            <a:lnSpc>
              <a:spcPct val="115000"/>
            </a:lnSpc>
            <a:spcBef>
              <a:spcPts val="0"/>
            </a:spcBef>
            <a:spcAft>
              <a:spcPts val="0"/>
            </a:spcAft>
          </a:pPr>
          <a:r>
            <a:rPr lang="en-US" sz="1600" b="1">
              <a:effectLst/>
              <a:latin typeface="+mn-lt"/>
              <a:ea typeface="Times New Roman"/>
              <a:cs typeface="Times New Roman"/>
            </a:rPr>
            <a:t>Procedure</a:t>
          </a:r>
          <a:r>
            <a:rPr lang="en-US" sz="1600">
              <a:effectLst/>
              <a:latin typeface="+mn-lt"/>
              <a:ea typeface="Times New Roman"/>
              <a:cs typeface="Times New Roman"/>
            </a:rPr>
            <a:t>: </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Select the VSP 8608 Chassis tab.</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Follow the instructions for Step 1.  Click any slot (shown in bold yellow) and a drop-down menu of cards will appear.  Choose “Open” if no card is present, otherwise choose a card for that slot.  </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Follow the instructions for Step 2.  Click any power supply slot (shown in bold yellow) and a drop-down menu of power supplies will appear.  Select “Open” if that power supply bay is unpopulated, otherwise select the appropriate power supply.</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 In the “Card Descriptions” field the description of the card and power supplies you chose will appear to verify your choice.</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The typical and maximum power used by the card will be shown in the next section.  Power shown is for a card without any optics or cables installed.  We add in the power of those devices in steps 3-8.</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Follow the instructions for Steps 3 – 8.  For instance, if a given slot is populated with a 24 port copper card, select the number of CAT 5 or 6 ports that will be utilized in Step 3.   For a 10G fiber card, select the number of ports populated from Step 4 (1 GbE devices) and/or Step 5 (10 GbE devices).  If a port type is unused, leave that pale yellow cell blank.</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The total card power section adds up the card power and port device power for each slot.</a:t>
          </a:r>
          <a:endParaRPr lang="en-US" sz="1400">
            <a:effectLst/>
            <a:latin typeface="+mn-lt"/>
            <a:ea typeface="Times New Roman"/>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Times New Roman"/>
              <a:cs typeface="Times New Roman"/>
            </a:rPr>
            <a:t>The calculator output section adds all the power consumption devices (cards, ports, and fans).  This is subtracted from available power from the populated power supplies.  Note that the power available is de-rated for temperatures higher than 45C and for altitudes above 5,000 ft.</a:t>
          </a:r>
          <a:endParaRPr lang="en-US" sz="1400">
            <a:effectLst/>
            <a:latin typeface="+mn-lt"/>
            <a:ea typeface="Times New Roman"/>
            <a:cs typeface="Times New Roman"/>
          </a:endParaRPr>
        </a:p>
        <a:p>
          <a:pPr marL="0" marR="0">
            <a:lnSpc>
              <a:spcPct val="115000"/>
            </a:lnSpc>
            <a:spcBef>
              <a:spcPts val="0"/>
            </a:spcBef>
            <a:spcAft>
              <a:spcPts val="0"/>
            </a:spcAft>
          </a:pPr>
          <a:r>
            <a:rPr lang="en-US" sz="1100">
              <a:effectLst/>
              <a:latin typeface="+mn-lt"/>
              <a:ea typeface="Times New Roman"/>
              <a:cs typeface="Times New Roman"/>
            </a:rPr>
            <a:t> </a:t>
          </a:r>
          <a:endParaRPr lang="en-US" sz="1400">
            <a:effectLst/>
            <a:latin typeface="+mn-lt"/>
            <a:ea typeface="Times New Roman"/>
            <a:cs typeface="Times New Roman"/>
          </a:endParaRPr>
        </a:p>
        <a:p>
          <a:pPr marL="0" marR="0">
            <a:lnSpc>
              <a:spcPct val="115000"/>
            </a:lnSpc>
            <a:spcBef>
              <a:spcPts val="0"/>
            </a:spcBef>
            <a:spcAft>
              <a:spcPts val="0"/>
            </a:spcAft>
          </a:pPr>
          <a:r>
            <a:rPr lang="en-US" sz="1100">
              <a:effectLst/>
              <a:latin typeface="+mn-lt"/>
              <a:ea typeface="Times New Roman"/>
              <a:cs typeface="Times New Roman"/>
            </a:rPr>
            <a:t>Net power totals are highlighted in green if there is adequate power or in red if there is insufficient power for that configuration.</a:t>
          </a:r>
          <a:endParaRPr lang="en-US" sz="1400">
            <a:effectLst/>
            <a:latin typeface="+mn-lt"/>
            <a:ea typeface="Times New Roman"/>
            <a:cs typeface="Times New Roman"/>
          </a:endParaRPr>
        </a:p>
        <a:p>
          <a:pPr marL="0" marR="0">
            <a:lnSpc>
              <a:spcPct val="115000"/>
            </a:lnSpc>
            <a:spcBef>
              <a:spcPts val="0"/>
            </a:spcBef>
            <a:spcAft>
              <a:spcPts val="0"/>
            </a:spcAft>
          </a:pPr>
          <a:r>
            <a:rPr lang="en-US" sz="1100">
              <a:effectLst/>
              <a:latin typeface="+mn-lt"/>
              <a:ea typeface="Times New Roman"/>
              <a:cs typeface="Times New Roman"/>
            </a:rPr>
            <a:t> </a:t>
          </a:r>
          <a:endParaRPr lang="en-US" sz="1400">
            <a:effectLst/>
            <a:latin typeface="+mn-lt"/>
            <a:ea typeface="Times New Roman"/>
            <a:cs typeface="Times New Roman"/>
          </a:endParaRPr>
        </a:p>
        <a:p>
          <a:pPr marL="0" marR="0">
            <a:lnSpc>
              <a:spcPct val="115000"/>
            </a:lnSpc>
            <a:spcBef>
              <a:spcPts val="0"/>
            </a:spcBef>
            <a:spcAft>
              <a:spcPts val="0"/>
            </a:spcAft>
          </a:pPr>
          <a:r>
            <a:rPr lang="en-US" sz="1100">
              <a:effectLst/>
              <a:latin typeface="+mn-lt"/>
              <a:ea typeface="Times New Roman"/>
              <a:cs typeface="Times New Roman"/>
            </a:rPr>
            <a:t>Other tabs are for reference by the power calculator and should not be edited.</a:t>
          </a:r>
          <a:endParaRPr lang="en-US" sz="1400">
            <a:effectLst/>
            <a:latin typeface="+mn-lt"/>
            <a:ea typeface="Times New Roman"/>
            <a:cs typeface="Times New Roman"/>
          </a:endParaRPr>
        </a:p>
        <a:p>
          <a:endParaRPr lang="en-US" sz="1100"/>
        </a:p>
      </xdr:txBody>
    </xdr:sp>
    <xdr:clientData/>
  </xdr:twoCellAnchor>
  <xdr:twoCellAnchor editAs="oneCell">
    <xdr:from>
      <xdr:col>11</xdr:col>
      <xdr:colOff>11905</xdr:colOff>
      <xdr:row>2</xdr:row>
      <xdr:rowOff>95250</xdr:rowOff>
    </xdr:from>
    <xdr:to>
      <xdr:col>24</xdr:col>
      <xdr:colOff>130968</xdr:colOff>
      <xdr:row>7</xdr:row>
      <xdr:rowOff>187585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71749" y="357188"/>
          <a:ext cx="3369469" cy="1044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742950</xdr:colOff>
      <xdr:row>0</xdr:row>
      <xdr:rowOff>382085</xdr:rowOff>
    </xdr:from>
    <xdr:to>
      <xdr:col>28</xdr:col>
      <xdr:colOff>377190</xdr:colOff>
      <xdr:row>9</xdr:row>
      <xdr:rowOff>1986</xdr:rowOff>
    </xdr:to>
    <xdr:pic>
      <xdr:nvPicPr>
        <xdr:cNvPr id="11" name="圖片 1" descr="image00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6450" y="382085"/>
          <a:ext cx="5353050" cy="4363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104"/>
  <sheetViews>
    <sheetView tabSelected="1" topLeftCell="A7" zoomScale="60" zoomScaleNormal="60" workbookViewId="0">
      <selection activeCell="AO8" sqref="AO8"/>
    </sheetView>
  </sheetViews>
  <sheetFormatPr defaultColWidth="3.7109375" defaultRowHeight="15" x14ac:dyDescent="0.25"/>
  <cols>
    <col min="1" max="1" width="0.85546875" style="3" customWidth="1"/>
    <col min="83" max="122" width="3.7109375" style="3"/>
  </cols>
  <sheetData>
    <row r="1" spans="2:82" s="3" customFormat="1" ht="5.25" customHeight="1" x14ac:dyDescent="0.25"/>
    <row r="2" spans="2:82" x14ac:dyDescent="0.25">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row>
    <row r="3" spans="2:82" x14ac:dyDescent="0.25">
      <c r="B3" s="513"/>
      <c r="C3" s="537"/>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1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row>
    <row r="4" spans="2:82" x14ac:dyDescent="0.25">
      <c r="B4" s="513"/>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1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row>
    <row r="5" spans="2:82" x14ac:dyDescent="0.25">
      <c r="B5" s="513"/>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1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2:82" x14ac:dyDescent="0.25">
      <c r="B6" s="513"/>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1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2:82" x14ac:dyDescent="0.25">
      <c r="B7" s="513"/>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1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2:82" x14ac:dyDescent="0.25">
      <c r="B8" s="513"/>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1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2:82" x14ac:dyDescent="0.25">
      <c r="B9" s="513"/>
      <c r="C9" s="538"/>
      <c r="D9" s="538"/>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1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2:82" x14ac:dyDescent="0.25">
      <c r="B10" s="513"/>
      <c r="C10" s="538"/>
      <c r="D10" s="538"/>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1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82" x14ac:dyDescent="0.25">
      <c r="B11" s="513"/>
      <c r="C11" s="538"/>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1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row>
    <row r="12" spans="2:82" x14ac:dyDescent="0.25">
      <c r="B12" s="513"/>
      <c r="C12" s="538"/>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1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row>
    <row r="13" spans="2:82" x14ac:dyDescent="0.25">
      <c r="B13" s="513"/>
      <c r="C13" s="538"/>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1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row>
    <row r="14" spans="2:82" x14ac:dyDescent="0.25">
      <c r="B14" s="513"/>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1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row>
    <row r="15" spans="2:82" x14ac:dyDescent="0.25">
      <c r="B15" s="513"/>
      <c r="C15" s="538"/>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1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row>
    <row r="16" spans="2:82" x14ac:dyDescent="0.25">
      <c r="B16" s="513"/>
      <c r="C16" s="538"/>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1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row>
    <row r="17" spans="2:82" x14ac:dyDescent="0.25">
      <c r="B17" s="513"/>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1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row>
    <row r="18" spans="2:82" x14ac:dyDescent="0.25">
      <c r="B18" s="513"/>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1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row>
    <row r="19" spans="2:82" x14ac:dyDescent="0.25">
      <c r="B19" s="513"/>
      <c r="C19" s="538"/>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1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row>
    <row r="20" spans="2:82" x14ac:dyDescent="0.25">
      <c r="B20" s="51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1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row>
    <row r="21" spans="2:82" x14ac:dyDescent="0.25">
      <c r="B21" s="513"/>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1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row>
    <row r="22" spans="2:82" x14ac:dyDescent="0.25">
      <c r="B22" s="513"/>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1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row>
    <row r="23" spans="2:82" x14ac:dyDescent="0.25">
      <c r="B23" s="513"/>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1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row>
    <row r="24" spans="2:82" x14ac:dyDescent="0.25">
      <c r="B24" s="513"/>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1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row>
    <row r="25" spans="2:82" x14ac:dyDescent="0.25">
      <c r="B25" s="513"/>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1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row>
    <row r="26" spans="2:82" x14ac:dyDescent="0.25">
      <c r="B26" s="513"/>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1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row>
    <row r="27" spans="2:82" x14ac:dyDescent="0.25">
      <c r="B27" s="513"/>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1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row>
    <row r="28" spans="2:82" x14ac:dyDescent="0.25">
      <c r="B28" s="513"/>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1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row>
    <row r="29" spans="2:82" x14ac:dyDescent="0.25">
      <c r="B29" s="513"/>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1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row>
    <row r="30" spans="2:82" x14ac:dyDescent="0.25">
      <c r="B30" s="513"/>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1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row>
    <row r="31" spans="2:82" x14ac:dyDescent="0.25">
      <c r="B31" s="513"/>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1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row>
    <row r="32" spans="2:82" x14ac:dyDescent="0.25">
      <c r="B32" s="513"/>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1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row>
    <row r="33" spans="2:82" x14ac:dyDescent="0.25">
      <c r="B33" s="513"/>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1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row>
    <row r="34" spans="2:82" x14ac:dyDescent="0.25">
      <c r="B34" s="513"/>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1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row>
    <row r="35" spans="2:82" x14ac:dyDescent="0.25">
      <c r="B35" s="513"/>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1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row>
    <row r="36" spans="2:82" x14ac:dyDescent="0.25">
      <c r="B36" s="513"/>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1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row>
    <row r="37" spans="2:82" x14ac:dyDescent="0.25">
      <c r="B37" s="513"/>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1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row>
    <row r="38" spans="2:82" x14ac:dyDescent="0.25">
      <c r="B38" s="513"/>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1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row>
    <row r="39" spans="2:82" x14ac:dyDescent="0.25">
      <c r="B39" s="513"/>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1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row>
    <row r="40" spans="2:82" x14ac:dyDescent="0.25">
      <c r="B40" s="513"/>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1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row>
    <row r="41" spans="2:82" x14ac:dyDescent="0.25">
      <c r="B41" s="513"/>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1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row>
    <row r="42" spans="2:82" x14ac:dyDescent="0.25">
      <c r="B42" s="513"/>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1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row>
    <row r="43" spans="2:82" x14ac:dyDescent="0.25">
      <c r="B43" s="513"/>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1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row>
    <row r="44" spans="2:82" x14ac:dyDescent="0.25">
      <c r="B44" s="513"/>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1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row>
    <row r="45" spans="2:82" x14ac:dyDescent="0.25">
      <c r="B45" s="513"/>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1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row>
    <row r="46" spans="2:82" x14ac:dyDescent="0.25">
      <c r="B46" s="513"/>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1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row>
    <row r="47" spans="2:82" x14ac:dyDescent="0.25">
      <c r="B47" s="513"/>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1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row>
    <row r="48" spans="2:82" x14ac:dyDescent="0.25">
      <c r="B48" s="513"/>
      <c r="C48" s="513"/>
      <c r="D48" s="513"/>
      <c r="E48" s="513"/>
      <c r="F48" s="513"/>
      <c r="G48" s="513"/>
      <c r="H48" s="513"/>
      <c r="I48" s="513"/>
      <c r="J48" s="513"/>
      <c r="K48" s="513"/>
      <c r="L48" s="513"/>
      <c r="M48" s="513"/>
      <c r="N48" s="513"/>
      <c r="O48" s="514"/>
      <c r="P48" s="513"/>
      <c r="Q48" s="513"/>
      <c r="R48" s="513"/>
      <c r="S48" s="513"/>
      <c r="T48" s="513"/>
      <c r="U48" s="513"/>
      <c r="V48" s="513"/>
      <c r="W48" s="513"/>
      <c r="X48" s="513"/>
      <c r="Y48" s="513"/>
      <c r="Z48" s="513"/>
      <c r="AA48" s="513"/>
      <c r="AB48" s="513"/>
      <c r="AC48" s="513"/>
      <c r="AD48" s="513"/>
      <c r="AE48" s="513"/>
      <c r="AF48" s="513"/>
      <c r="AG48" s="513"/>
      <c r="AH48" s="51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row>
    <row r="49" spans="2:82" x14ac:dyDescent="0.25">
      <c r="B49" s="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row>
    <row r="50" spans="2:82" ht="20.25" x14ac:dyDescent="0.3">
      <c r="B50" s="3"/>
      <c r="C50" s="3"/>
      <c r="D50" s="3"/>
      <c r="E50" s="3"/>
      <c r="F50" s="3"/>
      <c r="G50" s="3"/>
      <c r="H50" s="3"/>
      <c r="I50" s="3"/>
      <c r="J50" s="3"/>
      <c r="K50" s="3"/>
      <c r="L50" s="3"/>
      <c r="M50" s="3"/>
      <c r="N50" s="3"/>
      <c r="O50" s="3"/>
      <c r="P50" s="3"/>
      <c r="Q50" s="4"/>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row>
    <row r="51" spans="2:82" x14ac:dyDescent="0.2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row>
    <row r="52" spans="2:82" x14ac:dyDescent="0.2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row>
    <row r="53" spans="2:82" x14ac:dyDescent="0.2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row>
    <row r="54" spans="2:82" x14ac:dyDescent="0.2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row>
    <row r="55" spans="2:82" x14ac:dyDescent="0.2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row>
    <row r="56" spans="2:82" x14ac:dyDescent="0.2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row>
    <row r="57" spans="2:82" x14ac:dyDescent="0.2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row>
    <row r="58" spans="2:82" x14ac:dyDescent="0.2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row>
    <row r="59" spans="2:82" x14ac:dyDescent="0.2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row>
    <row r="60" spans="2:82" x14ac:dyDescent="0.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row>
    <row r="61" spans="2:82" x14ac:dyDescent="0.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row>
    <row r="62" spans="2:82" x14ac:dyDescent="0.2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row>
    <row r="63" spans="2:82" x14ac:dyDescent="0.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row>
    <row r="64" spans="2:82" x14ac:dyDescent="0.2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row>
    <row r="65" spans="2:82" x14ac:dyDescent="0.2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row>
    <row r="66" spans="2:82" x14ac:dyDescent="0.2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row>
    <row r="67" spans="2:82" x14ac:dyDescent="0.2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row>
    <row r="68" spans="2:82" x14ac:dyDescent="0.2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row>
    <row r="69" spans="2:82"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row>
    <row r="70" spans="2:82"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row>
    <row r="71" spans="2:82"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row>
    <row r="72" spans="2:82"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row>
    <row r="73" spans="2:82"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row>
    <row r="74" spans="2:82"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row>
    <row r="75" spans="2:82"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row>
    <row r="76" spans="2:82"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row>
    <row r="77" spans="2:82"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row>
    <row r="78" spans="2:82"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row>
    <row r="79" spans="2:82"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row>
    <row r="80" spans="2:82"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row>
    <row r="81" spans="2:82"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row>
    <row r="82" spans="2:82"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row>
    <row r="83" spans="2:82"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row>
    <row r="84" spans="2:82"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row>
    <row r="85" spans="2:82"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row>
    <row r="86" spans="2:82"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row>
    <row r="87" spans="2:82"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row>
    <row r="88" spans="2:82"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row>
    <row r="89" spans="2:82"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row>
    <row r="90" spans="2:82"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row>
    <row r="91" spans="2:82"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row>
    <row r="92" spans="2:82"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row>
    <row r="93" spans="2:82" s="3" customFormat="1" x14ac:dyDescent="0.25"/>
    <row r="94" spans="2:82" s="3" customFormat="1" x14ac:dyDescent="0.25"/>
    <row r="95" spans="2:82" s="3" customFormat="1" x14ac:dyDescent="0.25"/>
    <row r="96" spans="2:82"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sheetData>
  <mergeCells count="1">
    <mergeCell ref="C3:AG4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G140"/>
  <sheetViews>
    <sheetView zoomScale="50" zoomScaleNormal="50" workbookViewId="0">
      <pane ySplit="9" topLeftCell="A71" activePane="bottomLeft" state="frozen"/>
      <selection activeCell="F1" sqref="F1"/>
      <selection pane="bottomLeft" activeCell="K82" sqref="K82"/>
    </sheetView>
  </sheetViews>
  <sheetFormatPr defaultRowHeight="21" x14ac:dyDescent="0.35"/>
  <cols>
    <col min="1" max="1" width="11.85546875" style="18" customWidth="1"/>
    <col min="2" max="2" width="17.42578125" style="18" customWidth="1"/>
    <col min="3" max="3" width="16.85546875" style="18" customWidth="1"/>
    <col min="4" max="4" width="24.42578125" style="18" customWidth="1"/>
    <col min="5" max="5" width="27.5703125" style="18" customWidth="1"/>
    <col min="6" max="7" width="5.7109375" style="18" customWidth="1"/>
    <col min="8" max="8" width="7.7109375" style="18" customWidth="1"/>
    <col min="9" max="18" width="6.7109375" style="18" customWidth="1"/>
    <col min="19" max="19" width="5.140625" style="18" customWidth="1"/>
    <col min="20" max="20" width="12.85546875" style="18" customWidth="1"/>
    <col min="21" max="43" width="9.140625" style="18" customWidth="1"/>
    <col min="44" max="44" width="6.28515625" style="18" customWidth="1"/>
    <col min="45" max="45" width="3.85546875" style="109" customWidth="1"/>
    <col min="46" max="46" width="13.7109375" style="19" bestFit="1" customWidth="1"/>
    <col min="47" max="47" width="39.140625" style="19" customWidth="1"/>
    <col min="48" max="48" width="17.140625" style="19" customWidth="1"/>
    <col min="49" max="49" width="19.7109375" style="19" customWidth="1"/>
    <col min="50" max="50" width="7" style="19" bestFit="1" customWidth="1"/>
    <col min="51" max="51" width="7.42578125" style="19" customWidth="1"/>
    <col min="52" max="52" width="6.5703125" style="19" customWidth="1"/>
    <col min="53" max="16384" width="9.140625" style="18"/>
  </cols>
  <sheetData>
    <row r="1" spans="1:54" ht="46.5" x14ac:dyDescent="0.7">
      <c r="A1" s="88"/>
      <c r="B1" s="88"/>
      <c r="C1" s="88"/>
      <c r="D1" s="88"/>
      <c r="E1" s="88"/>
      <c r="F1" s="305" t="s">
        <v>249</v>
      </c>
      <c r="G1" s="107"/>
      <c r="H1" s="107"/>
      <c r="I1" s="107"/>
      <c r="J1" s="107"/>
      <c r="K1" s="107"/>
      <c r="L1" s="107"/>
      <c r="M1" s="107"/>
      <c r="N1" s="107"/>
      <c r="O1" s="89"/>
      <c r="P1" s="88"/>
      <c r="Q1" s="88"/>
      <c r="R1" s="88"/>
      <c r="S1" s="89"/>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16"/>
      <c r="AU1" s="109"/>
      <c r="AW1" s="90"/>
      <c r="AX1" s="90"/>
      <c r="AY1" s="90"/>
      <c r="AZ1" s="90"/>
      <c r="BA1" s="90"/>
      <c r="BB1" s="90"/>
    </row>
    <row r="2" spans="1:54" x14ac:dyDescent="0.3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16"/>
      <c r="AU2" s="90"/>
      <c r="AV2" s="90"/>
      <c r="AW2" s="90"/>
      <c r="AX2" s="90"/>
      <c r="AY2" s="90"/>
      <c r="AZ2" s="90"/>
    </row>
    <row r="3" spans="1:54" ht="24" thickBot="1" x14ac:dyDescent="0.4">
      <c r="A3" s="106"/>
      <c r="D3" s="106"/>
      <c r="E3" s="88"/>
      <c r="F3" s="88"/>
      <c r="G3" s="88"/>
      <c r="H3" s="88"/>
      <c r="I3" s="106"/>
      <c r="K3" s="242" t="s">
        <v>220</v>
      </c>
      <c r="L3" s="88"/>
      <c r="M3" s="88"/>
      <c r="N3" s="88"/>
      <c r="O3" s="88"/>
      <c r="P3" s="88"/>
      <c r="Q3" s="88"/>
      <c r="R3" s="88"/>
      <c r="S3" s="88"/>
      <c r="T3" s="88"/>
      <c r="U3" s="88"/>
      <c r="V3" s="88"/>
      <c r="W3" s="242"/>
      <c r="X3" s="88"/>
      <c r="Y3" s="88"/>
      <c r="Z3" s="88"/>
      <c r="AA3" s="88"/>
      <c r="AB3" s="88"/>
      <c r="AC3" s="88"/>
      <c r="AD3" s="88"/>
      <c r="AE3" s="88"/>
      <c r="AF3" s="88"/>
      <c r="AG3" s="88"/>
      <c r="AH3" s="88"/>
      <c r="AI3" s="88"/>
      <c r="AJ3" s="88"/>
      <c r="AK3" s="88"/>
      <c r="AL3" s="88"/>
      <c r="AM3" s="88"/>
      <c r="AN3" s="88"/>
      <c r="AO3" s="88"/>
      <c r="AP3" s="88"/>
      <c r="AQ3" s="88"/>
      <c r="AR3" s="16"/>
      <c r="AU3" s="90"/>
      <c r="AV3" s="90"/>
      <c r="AW3" s="90"/>
      <c r="AX3" s="90"/>
      <c r="AY3" s="90"/>
      <c r="AZ3" s="90"/>
    </row>
    <row r="4" spans="1:54" ht="24" thickBot="1" x14ac:dyDescent="0.4">
      <c r="A4" s="304" t="s">
        <v>202</v>
      </c>
      <c r="B4" s="232"/>
      <c r="C4" s="232"/>
      <c r="D4" s="88"/>
      <c r="E4" s="88"/>
      <c r="F4" s="88"/>
      <c r="G4" s="515"/>
      <c r="H4" s="516"/>
      <c r="I4" s="516"/>
      <c r="J4" s="516"/>
      <c r="K4" s="516"/>
      <c r="L4" s="516"/>
      <c r="M4" s="516"/>
      <c r="N4" s="516"/>
      <c r="O4" s="516"/>
      <c r="P4" s="516"/>
      <c r="Q4" s="516"/>
      <c r="R4" s="516"/>
      <c r="S4" s="517"/>
      <c r="T4" s="88"/>
      <c r="U4" s="88"/>
      <c r="V4" s="90"/>
      <c r="W4" s="90"/>
      <c r="X4" s="90"/>
      <c r="Y4" s="90"/>
      <c r="Z4" s="90"/>
      <c r="AA4" s="90"/>
      <c r="AB4" s="90"/>
      <c r="AC4" s="90"/>
      <c r="AD4" s="90"/>
      <c r="AE4" s="90"/>
      <c r="AF4" s="90"/>
      <c r="AG4" s="90"/>
      <c r="AH4" s="90"/>
      <c r="AI4" s="90"/>
      <c r="AJ4" s="90"/>
      <c r="AK4" s="90"/>
      <c r="AL4" s="90"/>
      <c r="AM4" s="90"/>
      <c r="AN4" s="90"/>
      <c r="AO4" s="90"/>
      <c r="AP4" s="90"/>
      <c r="AQ4" s="90"/>
      <c r="AR4" s="16"/>
      <c r="AU4" s="90"/>
      <c r="AV4" s="90"/>
      <c r="AW4" s="90"/>
      <c r="AX4" s="90"/>
      <c r="AY4" s="90"/>
      <c r="AZ4" s="90"/>
    </row>
    <row r="5" spans="1:54" ht="162" customHeight="1" thickBot="1" x14ac:dyDescent="0.4">
      <c r="A5" s="251" t="s">
        <v>203</v>
      </c>
      <c r="B5" s="88"/>
      <c r="C5" s="88"/>
      <c r="D5" s="88"/>
      <c r="E5" s="88"/>
      <c r="F5" s="88"/>
      <c r="G5" s="518"/>
      <c r="H5" s="241" t="s">
        <v>254</v>
      </c>
      <c r="I5" s="241" t="s">
        <v>250</v>
      </c>
      <c r="J5" s="241" t="s">
        <v>251</v>
      </c>
      <c r="K5" s="241" t="s">
        <v>252</v>
      </c>
      <c r="L5" s="289" t="s">
        <v>253</v>
      </c>
      <c r="M5" s="290" t="s">
        <v>253</v>
      </c>
      <c r="N5" s="291" t="s">
        <v>253</v>
      </c>
      <c r="O5" s="241" t="s">
        <v>11</v>
      </c>
      <c r="P5" s="241" t="s">
        <v>251</v>
      </c>
      <c r="Q5" s="241" t="s">
        <v>250</v>
      </c>
      <c r="R5" s="241" t="s">
        <v>254</v>
      </c>
      <c r="S5" s="522"/>
      <c r="T5" s="88"/>
      <c r="U5" s="88"/>
      <c r="V5" s="90"/>
      <c r="W5" s="90"/>
      <c r="X5" s="90"/>
      <c r="Y5" s="90"/>
      <c r="Z5" s="90"/>
      <c r="AA5" s="90"/>
      <c r="AB5" s="90"/>
      <c r="AC5" s="90"/>
      <c r="AD5" s="90"/>
      <c r="AE5" s="90"/>
      <c r="AF5" s="90"/>
      <c r="AG5" s="90"/>
      <c r="AH5" s="90"/>
      <c r="AI5" s="90"/>
      <c r="AJ5" s="90"/>
      <c r="AK5" s="90"/>
      <c r="AL5" s="90"/>
      <c r="AM5" s="90"/>
      <c r="AN5" s="90"/>
      <c r="AO5" s="90"/>
      <c r="AP5" s="90"/>
      <c r="AQ5" s="90"/>
      <c r="AR5" s="16"/>
      <c r="AU5" s="90"/>
      <c r="AV5" s="90"/>
      <c r="AW5" s="90"/>
      <c r="AX5" s="90"/>
      <c r="AY5" s="90"/>
      <c r="AZ5" s="90"/>
    </row>
    <row r="6" spans="1:54" ht="18.75" customHeight="1" x14ac:dyDescent="0.35">
      <c r="A6" s="88"/>
      <c r="B6" s="88"/>
      <c r="C6" s="88"/>
      <c r="D6" s="88"/>
      <c r="E6" s="88"/>
      <c r="F6" s="88"/>
      <c r="G6" s="518"/>
      <c r="H6" s="194" t="s">
        <v>17</v>
      </c>
      <c r="I6" s="194" t="s">
        <v>18</v>
      </c>
      <c r="J6" s="194" t="s">
        <v>4</v>
      </c>
      <c r="K6" s="194" t="s">
        <v>5</v>
      </c>
      <c r="L6" s="243" t="s">
        <v>1</v>
      </c>
      <c r="M6" s="243" t="s">
        <v>2</v>
      </c>
      <c r="N6" s="243" t="s">
        <v>3</v>
      </c>
      <c r="O6" s="194" t="s">
        <v>6</v>
      </c>
      <c r="P6" s="194" t="s">
        <v>7</v>
      </c>
      <c r="Q6" s="194" t="s">
        <v>8</v>
      </c>
      <c r="R6" s="194" t="s">
        <v>9</v>
      </c>
      <c r="S6" s="522"/>
      <c r="T6" s="88"/>
      <c r="U6" s="88"/>
      <c r="V6" s="90"/>
      <c r="W6" s="90"/>
      <c r="X6" s="90"/>
      <c r="Y6" s="90"/>
      <c r="Z6" s="90"/>
      <c r="AA6" s="90"/>
      <c r="AB6" s="90"/>
      <c r="AC6" s="90"/>
      <c r="AD6" s="90"/>
      <c r="AE6" s="90"/>
      <c r="AF6" s="90"/>
      <c r="AG6" s="90"/>
      <c r="AH6" s="90"/>
      <c r="AI6" s="90"/>
      <c r="AJ6" s="90"/>
      <c r="AK6" s="90"/>
      <c r="AL6" s="90"/>
      <c r="AM6" s="90"/>
      <c r="AN6" s="90"/>
      <c r="AO6" s="90"/>
      <c r="AP6" s="90"/>
      <c r="AQ6" s="90"/>
      <c r="AR6" s="16"/>
      <c r="AU6" s="90"/>
      <c r="AV6" s="90"/>
      <c r="AW6" s="90"/>
      <c r="AX6" s="90"/>
      <c r="AY6" s="90"/>
      <c r="AZ6" s="90"/>
    </row>
    <row r="7" spans="1:54" ht="24" thickBot="1" x14ac:dyDescent="0.4">
      <c r="A7" s="304" t="s">
        <v>204</v>
      </c>
      <c r="B7" s="88"/>
      <c r="C7" s="88"/>
      <c r="D7" s="88"/>
      <c r="E7" s="88"/>
      <c r="F7" s="88"/>
      <c r="G7" s="519"/>
      <c r="H7" s="521"/>
      <c r="I7" s="521"/>
      <c r="J7" s="521"/>
      <c r="K7" s="521"/>
      <c r="L7" s="521"/>
      <c r="M7" s="521"/>
      <c r="N7" s="521"/>
      <c r="O7" s="521"/>
      <c r="P7" s="521"/>
      <c r="Q7" s="521"/>
      <c r="R7" s="521"/>
      <c r="S7" s="522"/>
      <c r="T7" s="88"/>
      <c r="U7" s="88"/>
      <c r="V7" s="90"/>
      <c r="W7" s="90"/>
      <c r="X7" s="90"/>
      <c r="Y7" s="90"/>
      <c r="Z7" s="90"/>
      <c r="AA7" s="90"/>
      <c r="AB7" s="90"/>
      <c r="AC7" s="90"/>
      <c r="AD7" s="90"/>
      <c r="AE7" s="90"/>
      <c r="AF7" s="90"/>
      <c r="AG7" s="90"/>
      <c r="AH7" s="90"/>
      <c r="AI7" s="90"/>
      <c r="AJ7" s="90"/>
      <c r="AK7" s="90"/>
      <c r="AL7" s="90"/>
      <c r="AM7" s="90"/>
      <c r="AN7" s="90"/>
      <c r="AO7" s="90"/>
      <c r="AP7" s="90"/>
      <c r="AQ7" s="90"/>
      <c r="AR7" s="16"/>
      <c r="AU7" s="90"/>
      <c r="AV7" s="90"/>
      <c r="AW7" s="90"/>
      <c r="AX7" s="90"/>
      <c r="AY7" s="90"/>
      <c r="AZ7" s="90"/>
    </row>
    <row r="8" spans="1:54" ht="30" customHeight="1" x14ac:dyDescent="0.35">
      <c r="A8" s="251" t="s">
        <v>205</v>
      </c>
      <c r="B8" s="88"/>
      <c r="C8" s="88"/>
      <c r="D8" s="88"/>
      <c r="E8" s="88"/>
      <c r="F8" s="88"/>
      <c r="G8" s="519"/>
      <c r="H8" s="569" t="s">
        <v>137</v>
      </c>
      <c r="I8" s="570"/>
      <c r="J8" s="569" t="s">
        <v>137</v>
      </c>
      <c r="K8" s="570"/>
      <c r="L8" s="569" t="s">
        <v>11</v>
      </c>
      <c r="M8" s="570"/>
      <c r="N8" s="569" t="s">
        <v>11</v>
      </c>
      <c r="O8" s="570"/>
      <c r="P8" s="521"/>
      <c r="Q8" s="521"/>
      <c r="R8" s="521"/>
      <c r="S8" s="522"/>
      <c r="T8" s="88"/>
      <c r="U8" s="88"/>
      <c r="V8" s="90"/>
      <c r="W8" s="90"/>
      <c r="X8" s="90"/>
      <c r="Y8" s="90"/>
      <c r="Z8" s="90"/>
      <c r="AA8" s="90"/>
      <c r="AB8" s="90"/>
      <c r="AC8" s="90"/>
      <c r="AD8" s="90"/>
      <c r="AE8" s="90"/>
      <c r="AF8" s="90"/>
      <c r="AG8" s="90"/>
      <c r="AH8" s="90"/>
      <c r="AI8" s="90"/>
      <c r="AJ8" s="90"/>
      <c r="AK8" s="90"/>
      <c r="AL8" s="90"/>
      <c r="AM8" s="90"/>
      <c r="AN8" s="90"/>
      <c r="AO8" s="90"/>
      <c r="AP8" s="90"/>
      <c r="AQ8" s="90"/>
      <c r="AR8" s="16"/>
      <c r="AU8" s="90"/>
      <c r="AV8" s="90"/>
      <c r="AW8" s="90"/>
      <c r="AX8" s="90"/>
      <c r="AY8" s="90"/>
      <c r="AZ8" s="90"/>
    </row>
    <row r="9" spans="1:54" ht="21.75" thickBot="1" x14ac:dyDescent="0.4">
      <c r="A9" s="88"/>
      <c r="B9" s="88"/>
      <c r="C9" s="88"/>
      <c r="D9" s="88"/>
      <c r="E9" s="88"/>
      <c r="F9" s="88"/>
      <c r="G9" s="520"/>
      <c r="H9" s="523"/>
      <c r="I9" s="523"/>
      <c r="J9" s="523"/>
      <c r="K9" s="523"/>
      <c r="L9" s="523"/>
      <c r="M9" s="523"/>
      <c r="N9" s="523"/>
      <c r="O9" s="523"/>
      <c r="P9" s="523"/>
      <c r="Q9" s="523"/>
      <c r="R9" s="523"/>
      <c r="S9" s="524"/>
      <c r="T9" s="88"/>
      <c r="U9" s="88"/>
      <c r="V9" s="90"/>
      <c r="W9" s="90"/>
      <c r="X9" s="90"/>
      <c r="Y9" s="90"/>
      <c r="Z9" s="90"/>
      <c r="AA9" s="90"/>
      <c r="AB9" s="90"/>
      <c r="AC9" s="90"/>
      <c r="AD9" s="90"/>
      <c r="AE9" s="90"/>
      <c r="AF9" s="90"/>
      <c r="AG9" s="90"/>
      <c r="AH9" s="90"/>
      <c r="AI9" s="90"/>
      <c r="AJ9" s="90"/>
      <c r="AK9" s="90"/>
      <c r="AL9" s="90"/>
      <c r="AM9" s="90"/>
      <c r="AN9" s="90"/>
      <c r="AO9" s="90"/>
      <c r="AP9" s="90"/>
      <c r="AQ9" s="90"/>
      <c r="AR9" s="16"/>
      <c r="AU9" s="90"/>
      <c r="AV9" s="90"/>
      <c r="AW9" s="90"/>
      <c r="AX9" s="90"/>
      <c r="AY9" s="90"/>
      <c r="AZ9" s="90"/>
    </row>
    <row r="10" spans="1:54" ht="21.75" thickBot="1" x14ac:dyDescent="0.4">
      <c r="A10" s="88"/>
      <c r="B10" s="88"/>
      <c r="C10" s="88"/>
      <c r="D10" s="88"/>
      <c r="E10" s="88"/>
      <c r="F10" s="88"/>
      <c r="G10" s="88"/>
      <c r="H10" s="88"/>
      <c r="I10" s="88"/>
      <c r="J10" s="88"/>
      <c r="K10" s="88"/>
      <c r="L10" s="88"/>
      <c r="M10" s="88"/>
      <c r="N10" s="88"/>
      <c r="O10" s="88"/>
      <c r="P10" s="88"/>
      <c r="Q10" s="88"/>
      <c r="R10" s="88"/>
      <c r="S10" s="88"/>
      <c r="T10" s="88"/>
      <c r="U10" s="88"/>
      <c r="V10" s="90"/>
      <c r="W10" s="90"/>
      <c r="X10" s="90"/>
      <c r="Y10" s="90"/>
      <c r="Z10" s="90"/>
      <c r="AA10" s="90"/>
      <c r="AB10" s="90"/>
      <c r="AC10" s="90"/>
      <c r="AD10" s="90"/>
      <c r="AE10" s="90"/>
      <c r="AF10" s="90"/>
      <c r="AG10" s="90"/>
      <c r="AH10" s="90"/>
      <c r="AI10" s="90"/>
      <c r="AJ10" s="90"/>
      <c r="AK10" s="90"/>
      <c r="AL10" s="90"/>
      <c r="AM10" s="90"/>
      <c r="AN10" s="90"/>
      <c r="AO10" s="90"/>
      <c r="AP10" s="90"/>
      <c r="AQ10" s="90"/>
      <c r="AR10" s="16"/>
      <c r="AU10" s="90"/>
      <c r="AV10" s="90"/>
      <c r="AW10" s="90"/>
      <c r="AX10" s="90"/>
      <c r="AY10" s="90"/>
      <c r="AZ10" s="90"/>
    </row>
    <row r="11" spans="1:54" ht="20.25" customHeight="1" thickBot="1" x14ac:dyDescent="0.4">
      <c r="A11" s="88"/>
      <c r="B11" s="88"/>
      <c r="C11" s="88"/>
      <c r="D11" s="88"/>
      <c r="E11" s="88"/>
      <c r="F11" s="88"/>
      <c r="G11" s="525"/>
      <c r="H11" s="526"/>
      <c r="I11" s="526"/>
      <c r="J11" s="527"/>
      <c r="K11" s="528" t="s">
        <v>221</v>
      </c>
      <c r="L11" s="526"/>
      <c r="M11" s="526"/>
      <c r="N11" s="526"/>
      <c r="O11" s="526"/>
      <c r="P11" s="526"/>
      <c r="Q11" s="526"/>
      <c r="R11" s="526"/>
      <c r="S11" s="529"/>
      <c r="T11" s="88"/>
      <c r="U11" s="88"/>
      <c r="V11" s="90"/>
      <c r="W11" s="90"/>
      <c r="X11" s="90"/>
      <c r="Y11" s="90"/>
      <c r="Z11" s="90"/>
      <c r="AA11" s="90"/>
      <c r="AB11" s="90"/>
      <c r="AC11" s="90"/>
      <c r="AD11" s="90"/>
      <c r="AE11" s="90"/>
      <c r="AF11" s="90"/>
      <c r="AG11" s="90"/>
      <c r="AH11" s="90"/>
      <c r="AI11" s="90"/>
      <c r="AJ11" s="90"/>
      <c r="AK11" s="90"/>
      <c r="AL11" s="90"/>
      <c r="AM11" s="90"/>
      <c r="AN11" s="90"/>
      <c r="AO11" s="90"/>
      <c r="AP11" s="90"/>
      <c r="AQ11" s="90"/>
      <c r="AR11" s="16"/>
      <c r="AU11" s="90"/>
      <c r="AV11" s="90"/>
      <c r="AW11" s="90"/>
      <c r="AX11" s="90"/>
      <c r="AY11" s="90"/>
      <c r="AZ11" s="90"/>
    </row>
    <row r="12" spans="1:54" ht="240" customHeight="1" thickBot="1" x14ac:dyDescent="0.4">
      <c r="A12" s="250" t="s">
        <v>206</v>
      </c>
      <c r="B12" s="88"/>
      <c r="C12" s="88"/>
      <c r="D12" s="88"/>
      <c r="E12" s="91"/>
      <c r="F12" s="88"/>
      <c r="G12" s="530"/>
      <c r="H12" s="180" t="str">
        <f>IF(H5=$AT$32,$AU$32,IF(H5=$AT$33,$AU$33,IF(H5=$AT$34,$AU$34,IF(H5=$AT$35,$AU$35,IF(H5=$AT$36,$AU$36,IF(H5=$AT$37,$AU$37,IF(H5=$AT$38,$AU$38,IF(H5=$AT$39,$AU$39,IF(H5=$AT$40,$AU$40,IF(H5=$AT$41,$AU$41,$AT$41))))))))))</f>
        <v>24 port 1/10G SFP+</v>
      </c>
      <c r="I12" s="180" t="str">
        <f>IF(I5=$AT$32,$AU$32,IF(I5=$AT$33,$AU$33,IF(I5=$AT$34,$AU$34,IF(I5=$AT$35,$AU$35,IF(I5=$AT$36,$AU$36,IF(I5=$AT$37,$AU$37,IF(I5=$AT$38,$AU$38,IF(I5=$AT$39,$AU$39,IF(I5=$AT$40,$AU$40,IF(I5=$AT$41,$AU$41,$AT$41))))))))))</f>
        <v>24 port 100M/1G/10G Copper</v>
      </c>
      <c r="J12" s="180" t="str">
        <f>IF(J5=$AT$32,$AU$32,IF(J5=$AT$33,$AU$33,IF(J5=$AT$34,$AU$34,IF(J5=$AT$35,$AU$35,IF(J5=$AT$36,$AU$36,IF(J5=$AT$37,$AU$37,IF(J5=$AT$38,$AU$38,IF(J5=$AT$39,$AU$39,IF(J5=$AT$40,$AU$40,IF(J5=$AT$41,$AU$41,$AT$41))))))))))</f>
        <v>16 port 40G QSFP+</v>
      </c>
      <c r="K12" s="180" t="str">
        <f>IF(K5=$AT$32,$AU$32,IF(K5=$AT$33,$AU$33,IF(K5=$AT$34,$AU$34,IF(K5=$AT$35,$AU$35,IF(K5=$AT$36,$AU$36,IF(K5=$AT$37,$AU$37,IF(K5=$AT$38,$AU$38,IF(K5=$AT$39,$AU$39,IF(K5=$AT$40,$AU$40,IF(K5=$AT$41,$AU$41,$AT$41))))))))))</f>
        <v>6 port 100G QSFP28</v>
      </c>
      <c r="L12" s="292" t="str">
        <f>IF(L5=$AT$43,$AU$43,IF(L5=$AT$44,$AU$44,IF(L5=$AT$45,$AU$45,$AT$45)))</f>
        <v>Switch Fabric</v>
      </c>
      <c r="M12" s="292" t="str">
        <f>IF(M5=$AT$43,$AU$43,IF(M5=$AT$44,$AU$44,IF(M5=$AT$45,$AU$45,$AT$45)))</f>
        <v>Switch Fabric</v>
      </c>
      <c r="N12" s="293" t="str">
        <f>IF(N5=$AT$43,$AU$43,IF(N5=$AT$44,$AU$44,IF(N5=$AT$45,$AU$45,$AT$45)))</f>
        <v>Switch Fabric</v>
      </c>
      <c r="O12" s="180" t="str">
        <f>IF(O5=$AT$32,$AU$32,IF(O5=$AT$33,$AU$33,IF(O5=$AT$34,$AU$34,IF(O5=$AT$35,$AU$35,IF(O5=$AT$36,$AU$36,IF(O5=$AT$37,$AU$37,IF(O5=$AT$38,$AU$38,IF(O5=$AT$39,$AU$39,IF(O5=$AT$40,$AU$40,IF(O5=$AT$41,$AU$41,$AT$41))))))))))</f>
        <v>Open</v>
      </c>
      <c r="P12" s="180" t="str">
        <f>IF(P5=$AT$32,$AU$32,IF(P5=$AT$33,$AU$33,IF(P5=$AT$34,$AU$34,IF(P5=$AT$35,$AU$35,IF(P5=$AT$36,$AU$36,IF(P5=$AT$37,$AU$37,IF(P5=$AT$38,$AU$38,IF(P5=$AT$39,$AU$39,IF(P5=$AT$40,$AU$40,IF(P5=$AT$41,$AU$41,$AT$41))))))))))</f>
        <v>16 port 40G QSFP+</v>
      </c>
      <c r="Q12" s="180" t="str">
        <f>IF(Q5=$AT$32,$AU$32,IF(Q5=$AT$33,$AU$33,IF(Q5=$AT$34,$AU$34,IF(Q5=$AT$35,$AU$35,IF(Q5=$AT$36,$AU$36,IF(Q5=$AT$37,$AU$37,IF(Q5=$AT$38,$AU$38,IF(Q5=$AT$39,$AU$39,IF(Q5=$AT$40,$AU$40,IF(Q5=$AT$41,$AU$41,$AT$41))))))))))</f>
        <v>24 port 100M/1G/10G Copper</v>
      </c>
      <c r="R12" s="181" t="str">
        <f>IF(R5=$AT$32,$AU$32,IF(R5=$AT$33,$AU$33,IF(R5=$AT$34,$AU$34,IF(R5=$AT$35,$AU$35,IF(R5=$AT$36,$AU$36,IF(R5=$AT$37,$AU$37,IF(R5=$AT$38,$AU$38,IF(R5=$AT$39,$AU$39,IF(R5=$AT$40,$AU$40,IF(R5=$AT$41,$AU$41,$AT$41))))))))))</f>
        <v>24 port 1/10G SFP+</v>
      </c>
      <c r="S12" s="536"/>
      <c r="T12" s="88"/>
      <c r="U12" s="88"/>
      <c r="V12" s="90"/>
      <c r="W12" s="90"/>
      <c r="X12" s="90"/>
      <c r="Y12" s="90"/>
      <c r="Z12" s="90"/>
      <c r="AA12" s="90"/>
      <c r="AB12" s="90"/>
      <c r="AC12" s="90"/>
      <c r="AD12" s="90"/>
      <c r="AE12" s="90"/>
      <c r="AF12" s="90"/>
      <c r="AG12" s="90"/>
      <c r="AH12" s="90"/>
      <c r="AI12" s="90"/>
      <c r="AJ12" s="90"/>
      <c r="AK12" s="90"/>
      <c r="AL12" s="90"/>
      <c r="AM12" s="90"/>
      <c r="AN12" s="90"/>
      <c r="AO12" s="90"/>
      <c r="AP12" s="90"/>
      <c r="AQ12" s="90"/>
      <c r="AR12" s="16"/>
      <c r="AU12" s="90"/>
      <c r="AV12" s="90"/>
      <c r="AW12" s="90"/>
      <c r="AX12" s="90"/>
      <c r="AY12" s="90"/>
      <c r="AZ12" s="90"/>
    </row>
    <row r="13" spans="1:54" ht="19.5" customHeight="1" thickBot="1" x14ac:dyDescent="0.4">
      <c r="A13" s="88"/>
      <c r="B13" s="88"/>
      <c r="C13" s="88"/>
      <c r="D13" s="88"/>
      <c r="E13" s="88"/>
      <c r="F13" s="88"/>
      <c r="G13" s="530"/>
      <c r="H13" s="294" t="s">
        <v>17</v>
      </c>
      <c r="I13" s="295" t="s">
        <v>18</v>
      </c>
      <c r="J13" s="295" t="s">
        <v>4</v>
      </c>
      <c r="K13" s="295" t="s">
        <v>5</v>
      </c>
      <c r="L13" s="296" t="s">
        <v>1</v>
      </c>
      <c r="M13" s="296" t="s">
        <v>2</v>
      </c>
      <c r="N13" s="296" t="s">
        <v>3</v>
      </c>
      <c r="O13" s="295" t="s">
        <v>6</v>
      </c>
      <c r="P13" s="295" t="s">
        <v>7</v>
      </c>
      <c r="Q13" s="295" t="s">
        <v>8</v>
      </c>
      <c r="R13" s="297" t="s">
        <v>9</v>
      </c>
      <c r="S13" s="532"/>
      <c r="T13" s="88"/>
      <c r="U13" s="88"/>
      <c r="V13" s="90"/>
      <c r="W13" s="90"/>
      <c r="X13" s="90"/>
      <c r="Y13" s="90"/>
      <c r="Z13" s="90"/>
      <c r="AA13" s="90"/>
      <c r="AB13" s="90"/>
      <c r="AC13" s="90"/>
      <c r="AD13" s="90"/>
      <c r="AE13" s="90"/>
      <c r="AF13" s="90"/>
      <c r="AG13" s="90"/>
      <c r="AH13" s="90"/>
      <c r="AI13" s="90"/>
      <c r="AJ13" s="90"/>
      <c r="AK13" s="90"/>
      <c r="AL13" s="90"/>
      <c r="AM13" s="90"/>
      <c r="AN13" s="90"/>
      <c r="AO13" s="90"/>
      <c r="AP13" s="90"/>
      <c r="AQ13" s="90"/>
      <c r="AR13" s="16"/>
      <c r="AU13" s="90"/>
      <c r="AV13" s="90"/>
      <c r="AW13" s="90"/>
      <c r="AX13" s="90"/>
      <c r="AY13" s="90"/>
      <c r="AZ13" s="90"/>
    </row>
    <row r="14" spans="1:54" ht="21.75" thickBot="1" x14ac:dyDescent="0.4">
      <c r="A14" s="88"/>
      <c r="B14" s="88"/>
      <c r="C14" s="88"/>
      <c r="D14" s="88"/>
      <c r="E14" s="88"/>
      <c r="F14" s="88"/>
      <c r="G14" s="530"/>
      <c r="H14" s="531"/>
      <c r="I14" s="531"/>
      <c r="J14" s="531"/>
      <c r="K14" s="531"/>
      <c r="L14" s="531"/>
      <c r="M14" s="531"/>
      <c r="N14" s="531"/>
      <c r="O14" s="531"/>
      <c r="P14" s="531"/>
      <c r="Q14" s="531"/>
      <c r="R14" s="531"/>
      <c r="S14" s="532"/>
      <c r="T14" s="88"/>
      <c r="U14" s="88"/>
      <c r="V14" s="90"/>
      <c r="W14" s="90"/>
      <c r="X14" s="90"/>
      <c r="Y14" s="90"/>
      <c r="Z14" s="90"/>
      <c r="AA14" s="90"/>
      <c r="AB14" s="90"/>
      <c r="AC14" s="90"/>
      <c r="AD14" s="90"/>
      <c r="AE14" s="90"/>
      <c r="AF14" s="90"/>
      <c r="AG14" s="90"/>
      <c r="AH14" s="90"/>
      <c r="AI14" s="90"/>
      <c r="AJ14" s="90"/>
      <c r="AK14" s="90"/>
      <c r="AL14" s="90"/>
      <c r="AM14" s="90"/>
      <c r="AN14" s="90"/>
      <c r="AO14" s="90"/>
      <c r="AP14" s="90"/>
      <c r="AQ14" s="90"/>
      <c r="AR14" s="16"/>
      <c r="AU14" s="90"/>
      <c r="AV14" s="90"/>
      <c r="AW14" s="90"/>
      <c r="AX14" s="90"/>
      <c r="AY14" s="90"/>
      <c r="AZ14" s="90"/>
    </row>
    <row r="15" spans="1:54" ht="29.25" customHeight="1" thickBot="1" x14ac:dyDescent="0.4">
      <c r="A15" s="88"/>
      <c r="B15" s="88"/>
      <c r="C15" s="88"/>
      <c r="D15" s="88"/>
      <c r="E15" s="88"/>
      <c r="F15" s="88"/>
      <c r="G15" s="530"/>
      <c r="H15" s="571" t="str">
        <f>H8</f>
        <v>110VAC</v>
      </c>
      <c r="I15" s="572"/>
      <c r="J15" s="571" t="str">
        <f>J8</f>
        <v>110VAC</v>
      </c>
      <c r="K15" s="573"/>
      <c r="L15" s="571" t="str">
        <f>L8</f>
        <v>Open</v>
      </c>
      <c r="M15" s="573"/>
      <c r="N15" s="571" t="str">
        <f>N8</f>
        <v>Open</v>
      </c>
      <c r="O15" s="573"/>
      <c r="P15" s="531"/>
      <c r="Q15" s="531"/>
      <c r="R15" s="531"/>
      <c r="S15" s="532"/>
      <c r="T15" s="88"/>
      <c r="U15" s="88"/>
      <c r="V15" s="90"/>
      <c r="W15" s="90"/>
      <c r="X15" s="90"/>
      <c r="Y15" s="90"/>
      <c r="Z15" s="90"/>
      <c r="AA15" s="90"/>
      <c r="AB15" s="90"/>
      <c r="AC15" s="90"/>
      <c r="AD15" s="90"/>
      <c r="AE15" s="90"/>
      <c r="AF15" s="90"/>
      <c r="AG15" s="90"/>
      <c r="AH15" s="90"/>
      <c r="AI15" s="90"/>
      <c r="AJ15" s="90"/>
      <c r="AK15" s="90"/>
      <c r="AL15" s="90"/>
      <c r="AM15" s="90"/>
      <c r="AN15" s="90"/>
      <c r="AO15" s="90"/>
      <c r="AP15" s="90"/>
      <c r="AQ15" s="90"/>
      <c r="AR15" s="16"/>
      <c r="AU15" s="90"/>
      <c r="AV15" s="90"/>
      <c r="AW15" s="90"/>
      <c r="AX15" s="90"/>
      <c r="AY15" s="90"/>
      <c r="AZ15" s="90"/>
    </row>
    <row r="16" spans="1:54" ht="21.75" thickBot="1" x14ac:dyDescent="0.4">
      <c r="A16" s="298"/>
      <c r="B16" s="88"/>
      <c r="C16" s="88"/>
      <c r="D16" s="88"/>
      <c r="E16" s="88"/>
      <c r="F16" s="88"/>
      <c r="G16" s="535"/>
      <c r="H16" s="533"/>
      <c r="I16" s="533"/>
      <c r="J16" s="533"/>
      <c r="K16" s="533"/>
      <c r="L16" s="533"/>
      <c r="M16" s="533"/>
      <c r="N16" s="533"/>
      <c r="O16" s="533"/>
      <c r="P16" s="533"/>
      <c r="Q16" s="533"/>
      <c r="R16" s="533"/>
      <c r="S16" s="534"/>
      <c r="T16" s="88"/>
      <c r="U16" s="88"/>
      <c r="V16" s="90"/>
      <c r="W16" s="90"/>
      <c r="X16" s="90"/>
      <c r="Y16" s="90"/>
      <c r="Z16" s="90"/>
      <c r="AA16" s="90"/>
      <c r="AB16" s="90"/>
      <c r="AC16" s="90"/>
      <c r="AD16" s="90"/>
      <c r="AE16" s="90"/>
      <c r="AF16" s="90"/>
      <c r="AG16" s="90"/>
      <c r="AH16" s="90"/>
      <c r="AI16" s="90"/>
      <c r="AJ16" s="90"/>
      <c r="AK16" s="90"/>
      <c r="AL16" s="90"/>
      <c r="AM16" s="90"/>
      <c r="AN16" s="90"/>
      <c r="AO16" s="90"/>
      <c r="AP16" s="90"/>
      <c r="AQ16" s="90"/>
      <c r="AR16" s="16"/>
      <c r="AU16" s="90"/>
      <c r="AV16" s="90"/>
      <c r="AW16" s="90"/>
      <c r="AX16" s="90"/>
      <c r="AY16" s="90"/>
      <c r="AZ16" s="90"/>
    </row>
    <row r="17" spans="1:59" ht="21.75" thickBot="1" x14ac:dyDescent="0.4">
      <c r="A17" s="88"/>
      <c r="B17" s="88"/>
      <c r="C17" s="88"/>
      <c r="D17" s="88"/>
      <c r="E17" s="88"/>
      <c r="F17" s="88"/>
      <c r="G17" s="88"/>
      <c r="H17" s="88"/>
      <c r="I17" s="88"/>
      <c r="J17" s="88"/>
      <c r="K17" s="88"/>
      <c r="L17" s="88"/>
      <c r="M17" s="88"/>
      <c r="N17" s="88"/>
      <c r="O17" s="88"/>
      <c r="P17" s="88"/>
      <c r="Q17" s="88"/>
      <c r="R17" s="88"/>
      <c r="S17" s="88"/>
      <c r="T17" s="88"/>
      <c r="U17" s="88"/>
      <c r="V17" s="90"/>
      <c r="W17" s="90"/>
      <c r="X17" s="90"/>
      <c r="Y17" s="90"/>
      <c r="Z17" s="90"/>
      <c r="AA17" s="90"/>
      <c r="AB17" s="90"/>
      <c r="AC17" s="90"/>
      <c r="AD17" s="90"/>
      <c r="AE17" s="90"/>
      <c r="AF17" s="90"/>
      <c r="AG17" s="90"/>
      <c r="AH17" s="90"/>
      <c r="AI17" s="90"/>
      <c r="AJ17" s="90"/>
      <c r="AK17" s="90"/>
      <c r="AL17" s="90"/>
      <c r="AM17" s="90"/>
      <c r="AN17" s="90"/>
      <c r="AO17" s="90"/>
      <c r="AP17" s="90"/>
      <c r="AQ17" s="90"/>
      <c r="AR17" s="16"/>
      <c r="AU17" s="90"/>
      <c r="AV17" s="90"/>
      <c r="AW17" s="90"/>
      <c r="AX17" s="90"/>
      <c r="AY17" s="90"/>
      <c r="AZ17" s="90"/>
    </row>
    <row r="18" spans="1:59" ht="21.75" thickBot="1" x14ac:dyDescent="0.4">
      <c r="A18" s="16" t="s">
        <v>219</v>
      </c>
      <c r="B18" s="88"/>
      <c r="C18" s="88"/>
      <c r="D18" s="549" t="s">
        <v>195</v>
      </c>
      <c r="E18" s="550"/>
      <c r="F18" s="550"/>
      <c r="G18" s="551"/>
      <c r="H18" s="184">
        <f>IF(H5=$AT$32,$AW$32,IF(H5=$AT$33,$AW$33,IF(H5=$AT$34,$AW$34,IF(H5=$AT$35,$AW$35,IF(H5=$AT$36,$AW$36,IF(H5=$AT$37,$AW$37,IF(H5=$AT$38,$AW$38,IF(H5=$AT$39,$AW$39,IF(H5=$AT$40,$AW$40,IF(H5=$AT$41,$AW$41,$AW$41))))))))))</f>
        <v>201.8</v>
      </c>
      <c r="I18" s="184">
        <f>IF(I5=$AT$32,$AW$32,IF(I5=$AT$33,$AW$33,IF(I5=$AT$34,$AW$34,IF(I5=$AT$35,$AW$35,IF(I5=$AT$36,$AW$36,IF(I5=$AT$37,$AW$37,IF(I5=$AT$38,$AW$38,IF(I5=$AT$39,$AW$39,IF(I5=$AT$40,$AW$40,IF(I5=$AT$41,$AW$41,$AW$41))))))))))</f>
        <v>297.3</v>
      </c>
      <c r="J18" s="184">
        <f>IF(J5=$AT$32,$AW$32,IF(J5=$AT$33,$AW$33,IF(J5=$AT$34,$AW$34,IF(J5=$AT$35,$AW$35,IF(J5=$AT$36,$AW$36,IF(J5=$AT$37,$AW$37,IF(J5=$AT$38,$AW$38,IF(J5=$AT$39,$AW$39,IF(J5=$AT$40,$AW$40,IF(J5=$AT$41,$AW$41,$AW$41))))))))))</f>
        <v>201.1</v>
      </c>
      <c r="K18" s="184">
        <f>IF(K5=$AT$32,$AW$32,IF(K5=$AT$33,$AW$33,IF(K5=$AT$34,$AW$34,IF(K5=$AT$35,$AW$35,IF(K5=$AT$36,$AW$36,IF(K5=$AT$37,$AW$37,IF(K5=$AT$38,$AW$38,IF(K5=$AT$39,$AW$39,IF(K5=$AT$40,$AW$40,IF(K5=$AT$41,$AW$41,$AW$41))))))))))</f>
        <v>196.1</v>
      </c>
      <c r="L18" s="184">
        <f>IF(L5=$AT$43,$AW$43,IF(L5=$AT$44,$AW$44,IF(L5=$AT$45,$AW$45,$AW$45)))</f>
        <v>153.69999999999999</v>
      </c>
      <c r="M18" s="184">
        <f>IF(M5=$AT$43,$AW$43,IF(M5=$AT$44,$AW$44,IF(M5=$AT$45,$AW$45,$AW$45)))</f>
        <v>153.69999999999999</v>
      </c>
      <c r="N18" s="184">
        <f>IF(N5=$AT$43,$AW$43,IF(N5=$AT$44,$AW$44,IF(N5=$AT$45,$AW$45,$AW$45)))</f>
        <v>153.69999999999999</v>
      </c>
      <c r="O18" s="184">
        <f>IF(O5=$AT$32,$AW$32,IF(O5=$AT$33,$AW$33,IF(O5=$AT$34,$AW$34,IF(O5=$AT$35,$AW$35,IF(O5=$AT$36,$AW$36,IF(O5=$AT$37,$AW$37,IF(O5=$AT$38,$AW$38,IF(O5=$AT$39,$AW$39,IF(O5=$AT$40,$AW$40,IF(O5=$AT$41,$AW$41,$AW$41))))))))))</f>
        <v>0</v>
      </c>
      <c r="P18" s="184">
        <f>IF(P5=$AT$32,$AW$32,IF(P5=$AT$33,$AW$33,IF(P5=$AT$34,$AW$34,IF(P5=$AT$35,$AW$35,IF(P5=$AT$36,$AW$36,IF(P5=$AT$37,$AW$37,IF(P5=$AT$38,$AW$38,IF(P5=$AT$39,$AW$39,IF(P5=$AT$40,$AW$40,IF(P5=$AT$41,$AW$41,$AW$41))))))))))</f>
        <v>201.1</v>
      </c>
      <c r="Q18" s="184">
        <f>IF(Q5=$AT$32,$AW$32,IF(Q5=$AT$33,$AW$33,IF(Q5=$AT$34,$AW$34,IF(Q5=$AT$35,$AW$35,IF(Q5=$AT$36,$AW$36,IF(Q5=$AT$37,$AW$37,IF(Q5=$AT$38,$AW$38,IF(Q5=$AT$39,$AW$39,IF(Q5=$AT$40,$AW$40,IF(Q5=$AT$41,$AW$41,$AW$41))))))))))</f>
        <v>297.3</v>
      </c>
      <c r="R18" s="185">
        <f>IF(R5=$AT$32,$AW$32,IF(R5=$AT$33,$AW$33,IF(R5=$AT$34,$AW$34,IF(R5=$AT$35,$AW$35,IF(R5=$AT$36,$AW$36,IF(R5=$AT$37,$AW$37,IF(R5=$AT$38,$AW$38,IF(R5=$AT$39,$AW$39,IF(R5=$AT$40,$AW$40,IF(R5=$AT$41,$AW$41,$AW$41))))))))))</f>
        <v>201.8</v>
      </c>
      <c r="S18" s="88"/>
      <c r="T18" s="88"/>
      <c r="U18" s="88"/>
      <c r="V18" s="90"/>
      <c r="W18" s="90"/>
      <c r="X18" s="90"/>
      <c r="Y18" s="90"/>
      <c r="Z18" s="90"/>
      <c r="AA18" s="90"/>
      <c r="AB18" s="90"/>
      <c r="AC18" s="90"/>
      <c r="AD18" s="90"/>
      <c r="AE18" s="90"/>
      <c r="AF18" s="90"/>
      <c r="AG18" s="90"/>
      <c r="AH18" s="90"/>
      <c r="AI18" s="90"/>
      <c r="AJ18" s="90"/>
      <c r="AK18" s="90"/>
      <c r="AL18" s="90"/>
      <c r="AM18" s="90"/>
      <c r="AN18" s="90"/>
      <c r="AO18" s="90"/>
      <c r="AP18" s="90"/>
      <c r="AQ18" s="90"/>
      <c r="AR18" s="16"/>
      <c r="AU18" s="90"/>
      <c r="AV18" s="90"/>
      <c r="AW18" s="90"/>
      <c r="AX18" s="90"/>
      <c r="AY18" s="90"/>
      <c r="AZ18" s="90"/>
    </row>
    <row r="19" spans="1:59" ht="21.75" thickBot="1" x14ac:dyDescent="0.4">
      <c r="A19" s="88"/>
      <c r="B19" s="88"/>
      <c r="C19" s="88"/>
      <c r="D19" s="549" t="s">
        <v>196</v>
      </c>
      <c r="E19" s="550"/>
      <c r="F19" s="550"/>
      <c r="G19" s="551"/>
      <c r="H19" s="184">
        <f>IF(H5=$AT$32,$AX$32,IF(H5=$AT$33,$AX$33,IF(H5=$AT$34,$AX$34,IF(H5=$AT$35,$AX$35,IF(H5=$AT$36,$AX$36,IF(H5=$AT$37,$AX$37,IF(H5=$AT$38,$AX$38,IF(H5=$AT$39,$AX$39,IF(H5=$AT$40,$AX$40,IF(H5=$AT$41,$AX$41,$AX$41))))))))))</f>
        <v>151.74</v>
      </c>
      <c r="I19" s="184">
        <f>IF(I5=$AT$32,$AX$32,IF(I5=$AT$33,$AX$33,IF(I5=$AT$34,$AX$34,IF(I5=$AT$35,$AX$35,IF(I5=$AT$36,$AX$36,IF(I5=$AT$37,$AX$37,IF(I5=$AT$38,$AX$38,IF(I5=$AT$39,$AX$39,IF(I5=$AT$40,$AX$40,IF(I5=$AT$41,$AX$41,$AX$41))))))))))</f>
        <v>223.56</v>
      </c>
      <c r="J19" s="184">
        <f>IF(J5=$AT$32,$AX$32,IF(J5=$AT$33,$AX$33,IF(J5=$AT$34,$AX$34,IF(J5=$AT$35,$AX$35,IF(J5=$AT$36,$AX$36,IF(J5=$AT$37,$AX$37,IF(J5=$AT$38,$AX$38,IF(J5=$AT$39,$AX$39,IF(J5=$AT$40,$AX$40,IF(J5=$AT$41,$AX$41,$AX$41))))))))))</f>
        <v>151.19999999999999</v>
      </c>
      <c r="K19" s="184">
        <f>IF(K5=$AT$32,$AX$32,IF(K5=$AT$33,$AX$33,IF(K5=$AT$34,$AX$34,IF(K5=$AT$35,$AX$35,IF(K5=$AT$36,$AX$36,IF(K5=$AT$37,$AX$37,IF(K5=$AT$38,$AX$38,IF(K5=$AT$39,$AX$39,IF(K5=$AT$40,$AX$40,IF(K5=$AT$41,$AX$41,$AX$41))))))))))</f>
        <v>147.41999999999999</v>
      </c>
      <c r="L19" s="184">
        <f>IF(L5=$AT$43,$AX$43,IF(L5=$AT$44,$AX$44,IF(L5=$AT$45,$AX$45,$AW$45)))</f>
        <v>115.6</v>
      </c>
      <c r="M19" s="184">
        <f>IF(M5=$AT$43,$AX$43,IF(M5=$AT$44,$AX$44,IF(M5=$AT$45,$AX$45,$AW$45)))</f>
        <v>115.6</v>
      </c>
      <c r="N19" s="184">
        <f>IF(N5=$AT$43,$AX$43,IF(N5=$AT$44,$AX$44,IF(N5=$AT$45,$AX$45,$AW$45)))</f>
        <v>115.6</v>
      </c>
      <c r="O19" s="184">
        <f>IF(O5=$AT$32,$AX$32,IF(O5=$AT$33,$AX$33,IF(O5=$AT$34,$AX$34,IF(O5=$AT$35,$AX$35,IF(O5=$AT$36,$AX$36,IF(O5=$AT$37,$AX$37,IF(O5=$AT$38,$AX$38,IF(O5=$AT$39,$AX$39,IF(O5=$AT$40,$AX$40,IF(O5=$AT$41,$AX$41,$AX$41))))))))))</f>
        <v>0</v>
      </c>
      <c r="P19" s="184">
        <f>IF(P5=$AT$32,$AX$32,IF(P5=$AT$33,$AX$33,IF(P5=$AT$34,$AX$34,IF(P5=$AT$35,$AX$35,IF(P5=$AT$36,$AX$36,IF(P5=$AT$37,$AX$37,IF(P5=$AT$38,$AX$38,IF(P5=$AT$39,$AX$39,IF(P5=$AT$40,$AX$40,IF(P5=$AT$41,$AX$41,$AX$41))))))))))</f>
        <v>151.19999999999999</v>
      </c>
      <c r="Q19" s="184">
        <f>IF(Q5=$AT$32,$AX$32,IF(Q5=$AT$33,$AX$33,IF(Q5=$AT$34,$AX$34,IF(Q5=$AT$35,$AX$35,IF(Q5=$AT$36,$AX$36,IF(Q5=$AT$37,$AX$37,IF(Q5=$AT$38,$AX$38,IF(Q5=$AT$39,$AX$39,IF(Q5=$AT$40,$AX$40,IF(Q5=$AT$41,$AX$41,$AX$41))))))))))</f>
        <v>223.56</v>
      </c>
      <c r="R19" s="185">
        <f>IF(R5=$AT$32,$AX$32,IF(R5=$AT$33,$AX$33,IF(R5=$AT$34,$AX$34,IF(R5=$AT$35,$AX$35,IF(R5=$AT$36,$AX$36,IF(R5=$AT$37,$AX$37,IF(R5=$AT$38,$AX$38,IF(R5=$AT$39,$AX$39,IF(R5=$AT$40,$AX$40,IF(R5=$AT$41,$AX$41,$AX$41))))))))))</f>
        <v>151.74</v>
      </c>
      <c r="S19" s="88"/>
      <c r="T19" s="88"/>
      <c r="U19" s="88"/>
      <c r="V19" s="90"/>
      <c r="W19" s="90"/>
      <c r="X19" s="90"/>
      <c r="Y19" s="90"/>
      <c r="Z19" s="90"/>
      <c r="AA19" s="90"/>
      <c r="AB19" s="90"/>
      <c r="AC19" s="90"/>
      <c r="AD19" s="90"/>
      <c r="AE19" s="90"/>
      <c r="AF19" s="90"/>
      <c r="AG19" s="90"/>
      <c r="AH19" s="90"/>
      <c r="AI19" s="90"/>
      <c r="AJ19" s="90"/>
      <c r="AK19" s="90"/>
      <c r="AL19" s="90"/>
      <c r="AM19" s="90"/>
      <c r="AN19" s="90"/>
      <c r="AO19" s="90"/>
      <c r="AP19" s="90"/>
      <c r="AQ19" s="90"/>
      <c r="AR19" s="16"/>
      <c r="AU19" s="90"/>
      <c r="AV19" s="90"/>
      <c r="AW19" s="90"/>
      <c r="AX19" s="90"/>
      <c r="AY19" s="90"/>
      <c r="AZ19" s="90"/>
    </row>
    <row r="20" spans="1:59" ht="21.75" thickBot="1" x14ac:dyDescent="0.4">
      <c r="A20" s="88"/>
      <c r="B20" s="88"/>
      <c r="C20" s="88"/>
      <c r="D20" s="88"/>
      <c r="E20" s="88"/>
      <c r="F20" s="88"/>
      <c r="G20" s="88"/>
      <c r="H20" s="88"/>
      <c r="I20" s="88"/>
      <c r="J20" s="88"/>
      <c r="K20" s="88"/>
      <c r="L20" s="88"/>
      <c r="M20" s="88"/>
      <c r="N20" s="88"/>
      <c r="O20" s="88"/>
      <c r="P20" s="88"/>
      <c r="Q20" s="88"/>
      <c r="R20" s="88"/>
      <c r="S20" s="88"/>
      <c r="T20" s="88"/>
      <c r="U20" s="88"/>
      <c r="V20" s="90"/>
      <c r="W20" s="90"/>
      <c r="X20" s="90"/>
      <c r="Y20" s="90"/>
      <c r="Z20" s="90"/>
      <c r="AA20" s="90"/>
      <c r="AB20" s="90"/>
      <c r="AC20" s="90"/>
      <c r="AD20" s="90"/>
      <c r="AE20" s="90"/>
      <c r="AF20" s="90"/>
      <c r="AG20" s="90"/>
      <c r="AH20" s="90"/>
      <c r="AI20" s="90"/>
      <c r="AJ20" s="90"/>
      <c r="AK20" s="90"/>
      <c r="AL20" s="90"/>
      <c r="AM20" s="90"/>
      <c r="AN20" s="90"/>
      <c r="AO20" s="90"/>
      <c r="AP20" s="90"/>
      <c r="AQ20" s="90"/>
      <c r="AR20" s="16"/>
      <c r="AU20" s="90"/>
      <c r="AV20" s="90"/>
      <c r="AW20" s="90"/>
      <c r="AX20" s="90"/>
      <c r="AY20" s="90"/>
      <c r="AZ20" s="90"/>
    </row>
    <row r="21" spans="1:59" x14ac:dyDescent="0.35">
      <c r="A21" s="88"/>
      <c r="B21" s="88"/>
      <c r="C21" s="88"/>
      <c r="D21" s="552" t="s">
        <v>197</v>
      </c>
      <c r="E21" s="564"/>
      <c r="F21" s="556" t="s">
        <v>201</v>
      </c>
      <c r="G21" s="557"/>
      <c r="H21" s="558" t="s">
        <v>200</v>
      </c>
      <c r="I21" s="559"/>
      <c r="J21" s="559"/>
      <c r="K21" s="559"/>
      <c r="L21" s="559"/>
      <c r="M21" s="559"/>
      <c r="N21" s="559"/>
      <c r="O21" s="559"/>
      <c r="P21" s="559"/>
      <c r="Q21" s="559"/>
      <c r="R21" s="560"/>
      <c r="S21" s="88"/>
      <c r="T21" s="88"/>
      <c r="U21" s="88"/>
      <c r="V21" s="90"/>
      <c r="W21" s="90"/>
      <c r="X21" s="90"/>
      <c r="Y21" s="90"/>
      <c r="Z21" s="90"/>
      <c r="AA21" s="90"/>
      <c r="AB21" s="90"/>
      <c r="AC21" s="90"/>
      <c r="AD21" s="90"/>
      <c r="AE21" s="90"/>
      <c r="AF21" s="90"/>
      <c r="AG21" s="90"/>
      <c r="AH21" s="90"/>
      <c r="AI21" s="90"/>
      <c r="AJ21" s="90"/>
      <c r="AK21" s="90"/>
      <c r="AL21" s="90"/>
      <c r="AM21" s="90"/>
      <c r="AN21" s="90"/>
      <c r="AO21" s="90"/>
      <c r="AP21" s="88"/>
      <c r="AQ21" s="88"/>
      <c r="AR21" s="16"/>
      <c r="AS21" s="20"/>
      <c r="AT21" s="16"/>
      <c r="AU21" s="88"/>
      <c r="AV21" s="88"/>
      <c r="AW21" s="88"/>
      <c r="AX21" s="88"/>
      <c r="AY21" s="88"/>
      <c r="AZ21" s="88"/>
      <c r="BA21" s="17"/>
      <c r="BB21" s="17"/>
      <c r="BC21" s="17"/>
      <c r="BD21" s="17"/>
      <c r="BE21" s="17"/>
      <c r="BF21" s="17"/>
      <c r="BG21" s="17"/>
    </row>
    <row r="22" spans="1:59" ht="24" thickBot="1" x14ac:dyDescent="0.4">
      <c r="A22" s="304" t="s">
        <v>207</v>
      </c>
      <c r="B22" s="88"/>
      <c r="C22" s="88"/>
      <c r="D22" s="565"/>
      <c r="E22" s="566"/>
      <c r="F22" s="285" t="s">
        <v>22</v>
      </c>
      <c r="G22" s="286" t="s">
        <v>23</v>
      </c>
      <c r="H22" s="561"/>
      <c r="I22" s="562"/>
      <c r="J22" s="562"/>
      <c r="K22" s="562"/>
      <c r="L22" s="562"/>
      <c r="M22" s="562"/>
      <c r="N22" s="562"/>
      <c r="O22" s="562"/>
      <c r="P22" s="562"/>
      <c r="Q22" s="562"/>
      <c r="R22" s="563"/>
      <c r="S22" s="88"/>
      <c r="T22" s="88"/>
      <c r="U22" s="88"/>
      <c r="V22" s="90"/>
      <c r="W22" s="90"/>
      <c r="X22" s="90"/>
      <c r="Y22" s="90"/>
      <c r="Z22" s="90"/>
      <c r="AA22" s="90"/>
      <c r="AB22" s="90"/>
      <c r="AC22" s="90"/>
      <c r="AD22" s="90"/>
      <c r="AE22" s="90"/>
      <c r="AF22" s="90"/>
      <c r="AG22" s="90"/>
      <c r="AH22" s="90"/>
      <c r="AI22" s="90"/>
      <c r="AJ22" s="90"/>
      <c r="AK22" s="90"/>
      <c r="AL22" s="90"/>
      <c r="AM22" s="90"/>
      <c r="AN22" s="90"/>
      <c r="AO22" s="90"/>
      <c r="AP22" s="88"/>
      <c r="AQ22" s="88"/>
      <c r="AR22" s="16"/>
      <c r="AS22" s="20"/>
      <c r="AT22" s="16"/>
      <c r="AU22" s="88"/>
      <c r="AV22" s="88"/>
      <c r="AW22" s="88"/>
      <c r="AX22" s="88"/>
      <c r="AY22" s="88"/>
      <c r="AZ22" s="88"/>
      <c r="BA22" s="17"/>
      <c r="BB22" s="17"/>
      <c r="BC22" s="17"/>
      <c r="BD22" s="17"/>
      <c r="BE22" s="17"/>
      <c r="BF22" s="17"/>
      <c r="BG22" s="17"/>
    </row>
    <row r="23" spans="1:59" ht="18" customHeight="1" x14ac:dyDescent="0.35">
      <c r="A23" s="251" t="s">
        <v>208</v>
      </c>
      <c r="B23" s="88"/>
      <c r="C23" s="88"/>
      <c r="D23" s="233"/>
      <c r="E23" s="226" t="s">
        <v>142</v>
      </c>
      <c r="F23" s="254">
        <v>1</v>
      </c>
      <c r="G23" s="255">
        <v>0.5</v>
      </c>
      <c r="H23" s="195"/>
      <c r="I23" s="196">
        <v>24</v>
      </c>
      <c r="J23" s="196"/>
      <c r="K23" s="197"/>
      <c r="L23" s="112"/>
      <c r="M23" s="113"/>
      <c r="N23" s="114"/>
      <c r="O23" s="195"/>
      <c r="P23" s="196"/>
      <c r="Q23" s="196">
        <v>24</v>
      </c>
      <c r="R23" s="197"/>
      <c r="S23" s="88"/>
      <c r="T23" s="88"/>
      <c r="U23" s="88"/>
      <c r="V23" s="90"/>
      <c r="W23" s="90"/>
      <c r="X23" s="90"/>
      <c r="Y23" s="90"/>
      <c r="Z23" s="90"/>
      <c r="AA23" s="90"/>
      <c r="AB23" s="90"/>
      <c r="AC23" s="90"/>
      <c r="AD23" s="90"/>
      <c r="AE23" s="90"/>
      <c r="AF23" s="90"/>
      <c r="AG23" s="90"/>
      <c r="AH23" s="90"/>
      <c r="AI23" s="90"/>
      <c r="AJ23" s="90"/>
      <c r="AK23" s="90"/>
      <c r="AL23" s="90"/>
      <c r="AM23" s="90"/>
      <c r="AN23" s="90"/>
      <c r="AO23" s="90"/>
      <c r="AP23" s="88"/>
      <c r="AQ23" s="88"/>
      <c r="AR23" s="16"/>
      <c r="AS23" s="20"/>
      <c r="AT23" s="16"/>
      <c r="AU23" s="88"/>
      <c r="AV23" s="88"/>
      <c r="AW23" s="88"/>
      <c r="AX23" s="88"/>
      <c r="AY23" s="88"/>
      <c r="AZ23" s="88"/>
      <c r="BA23" s="17"/>
      <c r="BB23" s="17"/>
      <c r="BC23" s="17"/>
      <c r="BD23" s="17"/>
      <c r="BE23" s="17"/>
      <c r="BF23" s="17"/>
      <c r="BG23" s="17"/>
    </row>
    <row r="24" spans="1:59" ht="18" customHeight="1" x14ac:dyDescent="0.35">
      <c r="A24" s="249" t="s">
        <v>209</v>
      </c>
      <c r="B24" s="88"/>
      <c r="C24" s="88"/>
      <c r="D24" s="234"/>
      <c r="E24" s="235" t="s">
        <v>143</v>
      </c>
      <c r="F24" s="256">
        <v>12.95</v>
      </c>
      <c r="G24" s="257">
        <f>F24/2</f>
        <v>6.4749999999999996</v>
      </c>
      <c r="H24" s="198"/>
      <c r="I24" s="199"/>
      <c r="J24" s="199"/>
      <c r="K24" s="200"/>
      <c r="L24" s="115"/>
      <c r="M24" s="116"/>
      <c r="N24" s="117"/>
      <c r="O24" s="198"/>
      <c r="P24" s="199"/>
      <c r="Q24" s="199"/>
      <c r="R24" s="200"/>
      <c r="S24" s="88"/>
      <c r="T24" s="88"/>
      <c r="U24" s="88"/>
      <c r="V24" s="90"/>
      <c r="W24" s="90"/>
      <c r="X24" s="90"/>
      <c r="Y24" s="90"/>
      <c r="Z24" s="90"/>
      <c r="AA24" s="90"/>
      <c r="AB24" s="90"/>
      <c r="AC24" s="90"/>
      <c r="AD24" s="90"/>
      <c r="AE24" s="90"/>
      <c r="AF24" s="90"/>
      <c r="AG24" s="90"/>
      <c r="AH24" s="90"/>
      <c r="AI24" s="90"/>
      <c r="AJ24" s="90"/>
      <c r="AK24" s="90"/>
      <c r="AL24" s="90"/>
      <c r="AM24" s="90"/>
      <c r="AN24" s="90"/>
      <c r="AO24" s="90"/>
      <c r="AP24" s="88"/>
      <c r="AQ24" s="88"/>
      <c r="AR24" s="16"/>
      <c r="AS24" s="20"/>
      <c r="AT24" s="16"/>
      <c r="AU24" s="88"/>
      <c r="AV24" s="88"/>
      <c r="AW24" s="88"/>
      <c r="AX24" s="88"/>
      <c r="AY24" s="88"/>
      <c r="AZ24" s="88"/>
      <c r="BA24" s="17"/>
      <c r="BB24" s="17"/>
      <c r="BC24" s="17"/>
      <c r="BD24" s="17"/>
      <c r="BE24" s="17"/>
      <c r="BF24" s="17"/>
      <c r="BG24" s="17"/>
    </row>
    <row r="25" spans="1:59" ht="18" customHeight="1" x14ac:dyDescent="0.35">
      <c r="A25" s="249" t="s">
        <v>210</v>
      </c>
      <c r="B25" s="88"/>
      <c r="C25" s="88"/>
      <c r="D25" s="234"/>
      <c r="E25" s="235" t="s">
        <v>144</v>
      </c>
      <c r="F25" s="256">
        <v>25.5</v>
      </c>
      <c r="G25" s="257">
        <f>F25/2</f>
        <v>12.75</v>
      </c>
      <c r="H25" s="198"/>
      <c r="I25" s="199"/>
      <c r="J25" s="199"/>
      <c r="K25" s="200"/>
      <c r="L25" s="115"/>
      <c r="M25" s="116"/>
      <c r="N25" s="117"/>
      <c r="O25" s="198"/>
      <c r="P25" s="199"/>
      <c r="Q25" s="199"/>
      <c r="R25" s="200"/>
      <c r="S25" s="88"/>
      <c r="T25" s="88"/>
      <c r="U25" s="88"/>
      <c r="V25" s="90"/>
      <c r="W25" s="90"/>
      <c r="X25" s="90"/>
      <c r="Y25" s="90"/>
      <c r="Z25" s="90"/>
      <c r="AA25" s="90"/>
      <c r="AB25" s="90"/>
      <c r="AC25" s="90"/>
      <c r="AD25" s="90"/>
      <c r="AE25" s="90"/>
      <c r="AF25" s="90"/>
      <c r="AG25" s="90"/>
      <c r="AH25" s="90"/>
      <c r="AI25" s="90"/>
      <c r="AJ25" s="90"/>
      <c r="AK25" s="90"/>
      <c r="AL25" s="90"/>
      <c r="AM25" s="90"/>
      <c r="AN25" s="90"/>
      <c r="AO25" s="90"/>
      <c r="AP25" s="88"/>
      <c r="AQ25" s="88"/>
      <c r="AR25" s="16"/>
      <c r="AS25" s="20"/>
      <c r="AT25" s="16"/>
      <c r="AU25" s="88"/>
      <c r="AV25" s="88"/>
      <c r="AW25" s="88"/>
      <c r="AX25" s="88"/>
      <c r="AY25" s="88"/>
      <c r="AZ25" s="88"/>
      <c r="BA25" s="17"/>
      <c r="BB25" s="17"/>
      <c r="BC25" s="17"/>
      <c r="BD25" s="17"/>
      <c r="BE25" s="17"/>
      <c r="BF25" s="17"/>
      <c r="BG25" s="17"/>
    </row>
    <row r="26" spans="1:59" ht="18" customHeight="1" thickBot="1" x14ac:dyDescent="0.4">
      <c r="A26" s="249" t="s">
        <v>223</v>
      </c>
      <c r="B26" s="88"/>
      <c r="C26" s="88"/>
      <c r="D26" s="236"/>
      <c r="E26" s="227" t="s">
        <v>145</v>
      </c>
      <c r="F26" s="258">
        <v>60</v>
      </c>
      <c r="G26" s="259">
        <f>F26/2</f>
        <v>30</v>
      </c>
      <c r="H26" s="201"/>
      <c r="I26" s="202"/>
      <c r="J26" s="202"/>
      <c r="K26" s="203"/>
      <c r="L26" s="118"/>
      <c r="M26" s="119"/>
      <c r="N26" s="120"/>
      <c r="O26" s="201"/>
      <c r="P26" s="202"/>
      <c r="Q26" s="202"/>
      <c r="R26" s="203"/>
      <c r="S26" s="88"/>
      <c r="T26" s="88"/>
      <c r="U26" s="88"/>
      <c r="V26" s="90"/>
      <c r="W26" s="90"/>
      <c r="X26" s="90"/>
      <c r="Y26" s="90"/>
      <c r="Z26" s="90"/>
      <c r="AA26" s="90"/>
      <c r="AB26" s="90"/>
      <c r="AC26" s="90"/>
      <c r="AD26" s="90"/>
      <c r="AE26" s="90"/>
      <c r="AF26" s="90"/>
      <c r="AG26" s="90"/>
      <c r="AH26" s="90"/>
      <c r="AI26" s="90"/>
      <c r="AJ26" s="90"/>
      <c r="AK26" s="90"/>
      <c r="AL26" s="90"/>
      <c r="AM26" s="90"/>
      <c r="AN26" s="90"/>
      <c r="AO26" s="90"/>
      <c r="AP26" s="88"/>
      <c r="AQ26" s="88"/>
      <c r="AR26" s="16"/>
      <c r="AS26" s="20"/>
      <c r="AT26" s="16"/>
      <c r="AU26" s="88"/>
      <c r="AV26" s="88"/>
      <c r="AW26" s="88"/>
      <c r="AX26" s="88"/>
      <c r="AY26" s="88"/>
      <c r="AZ26" s="88"/>
      <c r="BA26" s="17"/>
      <c r="BB26" s="17"/>
      <c r="BC26" s="17"/>
      <c r="BD26" s="17"/>
      <c r="BE26" s="17"/>
      <c r="BF26" s="17"/>
      <c r="BG26" s="17"/>
    </row>
    <row r="27" spans="1:59" ht="31.5" customHeight="1" thickBot="1" x14ac:dyDescent="0.4">
      <c r="A27" s="88"/>
      <c r="B27" s="88"/>
      <c r="C27" s="88"/>
      <c r="D27" s="232"/>
      <c r="E27" s="240" t="s">
        <v>146</v>
      </c>
      <c r="F27" s="93"/>
      <c r="G27" s="94"/>
      <c r="H27" s="381">
        <f>+H23*$F23+H24*$F24+H25*$F25+H26*$F26</f>
        <v>0</v>
      </c>
      <c r="I27" s="382">
        <f t="shared" ref="I27:K27" si="0">+I23*$F23+I24*$F24+I25*$F25+I26*$F26</f>
        <v>24</v>
      </c>
      <c r="J27" s="382">
        <f t="shared" si="0"/>
        <v>0</v>
      </c>
      <c r="K27" s="383">
        <f t="shared" si="0"/>
        <v>0</v>
      </c>
      <c r="L27" s="384"/>
      <c r="M27" s="385"/>
      <c r="N27" s="386"/>
      <c r="O27" s="381">
        <f t="shared" ref="O27:R27" si="1">+O23*$F23+O24*$F24+O25*$F25+O26*$F26</f>
        <v>0</v>
      </c>
      <c r="P27" s="382">
        <f t="shared" si="1"/>
        <v>0</v>
      </c>
      <c r="Q27" s="382">
        <f t="shared" si="1"/>
        <v>24</v>
      </c>
      <c r="R27" s="383">
        <f t="shared" si="1"/>
        <v>0</v>
      </c>
      <c r="S27" s="88"/>
      <c r="T27" s="88"/>
      <c r="U27" s="88"/>
      <c r="V27" s="90"/>
      <c r="W27" s="90"/>
      <c r="X27" s="90"/>
      <c r="Y27" s="90"/>
      <c r="Z27" s="90"/>
      <c r="AA27" s="90"/>
      <c r="AB27" s="90"/>
      <c r="AC27" s="90"/>
      <c r="AD27" s="90"/>
      <c r="AE27" s="90"/>
      <c r="AF27" s="90"/>
      <c r="AG27" s="90"/>
      <c r="AH27" s="90"/>
      <c r="AI27" s="90"/>
      <c r="AJ27" s="90"/>
      <c r="AK27" s="90"/>
      <c r="AL27" s="90"/>
      <c r="AM27" s="90"/>
      <c r="AN27" s="90"/>
      <c r="AO27" s="90"/>
      <c r="AP27" s="88"/>
      <c r="AQ27" s="88"/>
      <c r="AR27" s="16"/>
      <c r="AS27" s="20"/>
      <c r="AT27" s="16"/>
      <c r="AU27" s="88"/>
      <c r="AV27" s="88"/>
      <c r="AW27" s="88"/>
      <c r="AX27" s="88"/>
      <c r="AY27" s="88"/>
      <c r="AZ27" s="88"/>
      <c r="BA27" s="17"/>
      <c r="BB27" s="17"/>
      <c r="BC27" s="17"/>
      <c r="BD27" s="17"/>
      <c r="BE27" s="17"/>
      <c r="BF27" s="17"/>
      <c r="BG27" s="17"/>
    </row>
    <row r="28" spans="1:59" ht="31.5" customHeight="1" thickBot="1" x14ac:dyDescent="0.4">
      <c r="A28" s="88"/>
      <c r="B28" s="88"/>
      <c r="C28" s="88"/>
      <c r="D28" s="232"/>
      <c r="E28" s="240" t="s">
        <v>147</v>
      </c>
      <c r="F28" s="95"/>
      <c r="G28" s="96"/>
      <c r="H28" s="381">
        <f>H23*$G23+H24*$G24+H25*$G25+H26*$G26</f>
        <v>0</v>
      </c>
      <c r="I28" s="382">
        <f t="shared" ref="I28:K28" si="2">I23*$G23+I24*$G24+I25*$G25+I26*$G26</f>
        <v>12</v>
      </c>
      <c r="J28" s="382">
        <f t="shared" si="2"/>
        <v>0</v>
      </c>
      <c r="K28" s="383">
        <f t="shared" si="2"/>
        <v>0</v>
      </c>
      <c r="L28" s="384"/>
      <c r="M28" s="385"/>
      <c r="N28" s="386"/>
      <c r="O28" s="381">
        <f t="shared" ref="O28:R28" si="3">O23*$G23+O24*$G24+O25*$G25+O26*$G26</f>
        <v>0</v>
      </c>
      <c r="P28" s="382">
        <f t="shared" si="3"/>
        <v>0</v>
      </c>
      <c r="Q28" s="382">
        <f t="shared" si="3"/>
        <v>12</v>
      </c>
      <c r="R28" s="383">
        <f t="shared" si="3"/>
        <v>0</v>
      </c>
      <c r="S28" s="88"/>
      <c r="T28" s="88"/>
      <c r="U28" s="88"/>
      <c r="V28" s="90"/>
      <c r="W28" s="90"/>
      <c r="X28" s="90"/>
      <c r="Y28" s="90"/>
      <c r="Z28" s="90"/>
      <c r="AA28" s="90"/>
      <c r="AB28" s="90"/>
      <c r="AC28" s="90"/>
      <c r="AD28" s="90"/>
      <c r="AE28" s="90"/>
      <c r="AF28" s="90"/>
      <c r="AG28" s="90"/>
      <c r="AH28" s="90"/>
      <c r="AI28" s="90"/>
      <c r="AJ28" s="90"/>
      <c r="AK28" s="90"/>
      <c r="AL28" s="90"/>
      <c r="AM28" s="90"/>
      <c r="AN28" s="90"/>
      <c r="AO28" s="90"/>
      <c r="AP28" s="88"/>
      <c r="AQ28" s="472"/>
      <c r="AR28" s="19"/>
      <c r="AU28" s="472"/>
      <c r="AV28" s="472"/>
      <c r="AW28" s="472"/>
      <c r="AX28" s="472"/>
      <c r="AY28" s="472"/>
      <c r="AZ28" s="472"/>
      <c r="BA28" s="473"/>
      <c r="BB28" s="473"/>
      <c r="BC28" s="17"/>
      <c r="BD28" s="17"/>
      <c r="BE28" s="17"/>
      <c r="BF28" s="17"/>
      <c r="BG28" s="17"/>
    </row>
    <row r="29" spans="1:59" ht="21.75" thickBot="1" x14ac:dyDescent="0.4">
      <c r="A29" s="88"/>
      <c r="B29" s="88"/>
      <c r="C29" s="88"/>
      <c r="D29" s="88"/>
      <c r="E29" s="88"/>
      <c r="F29" s="88"/>
      <c r="G29" s="88"/>
      <c r="H29" s="92"/>
      <c r="I29" s="92"/>
      <c r="J29" s="92"/>
      <c r="K29" s="92"/>
      <c r="L29" s="92"/>
      <c r="M29" s="92"/>
      <c r="N29" s="92"/>
      <c r="O29" s="92"/>
      <c r="P29" s="92"/>
      <c r="Q29" s="92"/>
      <c r="R29" s="92"/>
      <c r="S29" s="88"/>
      <c r="T29" s="88"/>
      <c r="U29" s="88"/>
      <c r="V29" s="90"/>
      <c r="W29" s="90"/>
      <c r="X29" s="90"/>
      <c r="Y29" s="90"/>
      <c r="Z29" s="90"/>
      <c r="AA29" s="90"/>
      <c r="AB29" s="90"/>
      <c r="AC29" s="90"/>
      <c r="AD29" s="90"/>
      <c r="AE29" s="90"/>
      <c r="AF29" s="90"/>
      <c r="AG29" s="90"/>
      <c r="AH29" s="90"/>
      <c r="AI29" s="90"/>
      <c r="AJ29" s="90"/>
      <c r="AK29" s="90"/>
      <c r="AL29" s="90"/>
      <c r="AM29" s="90"/>
      <c r="AN29" s="90"/>
      <c r="AO29" s="90"/>
      <c r="AP29" s="88"/>
      <c r="AQ29" s="472"/>
      <c r="AR29" s="472"/>
      <c r="AS29" s="474"/>
      <c r="AT29" s="472"/>
      <c r="AU29" s="472"/>
      <c r="AV29" s="472"/>
      <c r="AW29" s="472"/>
      <c r="AX29" s="472"/>
      <c r="AY29" s="472"/>
      <c r="AZ29" s="472"/>
      <c r="BA29" s="473"/>
      <c r="BB29" s="473"/>
      <c r="BC29" s="17"/>
      <c r="BD29" s="17"/>
      <c r="BE29" s="17"/>
      <c r="BF29" s="17"/>
      <c r="BG29" s="17"/>
    </row>
    <row r="30" spans="1:59" x14ac:dyDescent="0.35">
      <c r="A30" s="88"/>
      <c r="B30" s="88"/>
      <c r="C30" s="88"/>
      <c r="D30" s="552" t="s">
        <v>232</v>
      </c>
      <c r="E30" s="564"/>
      <c r="F30" s="556" t="s">
        <v>201</v>
      </c>
      <c r="G30" s="557"/>
      <c r="H30" s="558" t="s">
        <v>200</v>
      </c>
      <c r="I30" s="559"/>
      <c r="J30" s="559"/>
      <c r="K30" s="559"/>
      <c r="L30" s="559"/>
      <c r="M30" s="559"/>
      <c r="N30" s="559"/>
      <c r="O30" s="559"/>
      <c r="P30" s="559"/>
      <c r="Q30" s="559"/>
      <c r="R30" s="560"/>
      <c r="S30" s="88"/>
      <c r="T30" s="88"/>
      <c r="U30" s="88"/>
      <c r="V30" s="90"/>
      <c r="W30" s="90"/>
      <c r="X30" s="90"/>
      <c r="Y30" s="90"/>
      <c r="Z30" s="90"/>
      <c r="AA30" s="90"/>
      <c r="AB30" s="90"/>
      <c r="AC30" s="90"/>
      <c r="AD30" s="90"/>
      <c r="AE30" s="90"/>
      <c r="AF30" s="90"/>
      <c r="AG30" s="90"/>
      <c r="AH30" s="90"/>
      <c r="AI30" s="90"/>
      <c r="AJ30" s="90"/>
      <c r="AK30" s="90"/>
      <c r="AL30" s="90"/>
      <c r="AM30" s="90"/>
      <c r="AN30" s="90"/>
      <c r="AO30" s="90"/>
      <c r="AP30" s="88"/>
      <c r="AQ30" s="472"/>
      <c r="AR30" s="472"/>
      <c r="AS30" s="474"/>
      <c r="AT30" s="472"/>
      <c r="AU30" s="472"/>
      <c r="AV30" s="472"/>
      <c r="AW30" s="472"/>
      <c r="AX30" s="472"/>
      <c r="AY30" s="472"/>
      <c r="AZ30" s="472"/>
      <c r="BA30" s="473"/>
      <c r="BB30" s="473"/>
      <c r="BC30" s="17"/>
      <c r="BD30" s="17"/>
      <c r="BE30" s="17"/>
      <c r="BF30" s="17"/>
      <c r="BG30" s="17"/>
    </row>
    <row r="31" spans="1:59" ht="24" thickBot="1" x14ac:dyDescent="0.4">
      <c r="A31" s="304" t="s">
        <v>211</v>
      </c>
      <c r="B31" s="88"/>
      <c r="C31" s="88"/>
      <c r="D31" s="565"/>
      <c r="E31" s="566"/>
      <c r="F31" s="287" t="s">
        <v>22</v>
      </c>
      <c r="G31" s="288" t="s">
        <v>23</v>
      </c>
      <c r="H31" s="561"/>
      <c r="I31" s="562"/>
      <c r="J31" s="562"/>
      <c r="K31" s="562"/>
      <c r="L31" s="562"/>
      <c r="M31" s="562"/>
      <c r="N31" s="562"/>
      <c r="O31" s="562"/>
      <c r="P31" s="562"/>
      <c r="Q31" s="562"/>
      <c r="R31" s="563"/>
      <c r="S31" s="88"/>
      <c r="T31" s="88"/>
      <c r="U31" s="88"/>
      <c r="V31" s="90"/>
      <c r="W31" s="90"/>
      <c r="X31" s="90"/>
      <c r="Y31" s="90"/>
      <c r="Z31" s="90"/>
      <c r="AA31" s="90"/>
      <c r="AB31" s="90"/>
      <c r="AC31" s="90"/>
      <c r="AD31" s="90"/>
      <c r="AE31" s="90"/>
      <c r="AF31" s="90"/>
      <c r="AG31" s="90"/>
      <c r="AH31" s="90"/>
      <c r="AI31" s="90"/>
      <c r="AJ31" s="90"/>
      <c r="AK31" s="90"/>
      <c r="AL31" s="90"/>
      <c r="AM31" s="90"/>
      <c r="AN31" s="90"/>
      <c r="AO31" s="90"/>
      <c r="AP31" s="88"/>
      <c r="AQ31" s="472"/>
      <c r="AR31" s="472"/>
      <c r="AS31" s="475"/>
      <c r="AT31" s="476" t="s">
        <v>15</v>
      </c>
      <c r="AU31" s="476" t="s">
        <v>29</v>
      </c>
      <c r="AV31" s="476" t="s">
        <v>12</v>
      </c>
      <c r="AW31" s="476" t="s">
        <v>19</v>
      </c>
      <c r="AX31" s="477" t="s">
        <v>20</v>
      </c>
      <c r="AY31" s="478"/>
      <c r="AZ31" s="479"/>
      <c r="BA31" s="473"/>
      <c r="BB31" s="473"/>
      <c r="BC31" s="17"/>
      <c r="BD31" s="17"/>
      <c r="BE31" s="17"/>
      <c r="BF31" s="17"/>
      <c r="BG31" s="17"/>
    </row>
    <row r="32" spans="1:59" ht="18" customHeight="1" x14ac:dyDescent="0.35">
      <c r="A32" s="251" t="s">
        <v>208</v>
      </c>
      <c r="B32" s="88"/>
      <c r="C32" s="88"/>
      <c r="D32" s="216" t="s">
        <v>40</v>
      </c>
      <c r="E32" s="228" t="s">
        <v>41</v>
      </c>
      <c r="F32" s="260">
        <v>0.8</v>
      </c>
      <c r="G32" s="261">
        <v>0.55000000000000004</v>
      </c>
      <c r="H32" s="195"/>
      <c r="I32" s="196"/>
      <c r="J32" s="196"/>
      <c r="K32" s="197"/>
      <c r="L32" s="112"/>
      <c r="M32" s="113"/>
      <c r="N32" s="114"/>
      <c r="O32" s="195"/>
      <c r="P32" s="196"/>
      <c r="Q32" s="196"/>
      <c r="R32" s="197"/>
      <c r="S32" s="88"/>
      <c r="T32" s="88"/>
      <c r="U32" s="88"/>
      <c r="V32" s="90"/>
      <c r="W32" s="90"/>
      <c r="X32" s="90"/>
      <c r="Y32" s="90"/>
      <c r="Z32" s="90"/>
      <c r="AA32" s="90"/>
      <c r="AB32" s="90"/>
      <c r="AC32" s="90"/>
      <c r="AD32" s="90"/>
      <c r="AE32" s="90"/>
      <c r="AF32" s="90"/>
      <c r="AG32" s="90"/>
      <c r="AH32" s="90"/>
      <c r="AI32" s="90"/>
      <c r="AJ32" s="90"/>
      <c r="AK32" s="90"/>
      <c r="AL32" s="90"/>
      <c r="AM32" s="90"/>
      <c r="AN32" s="90"/>
      <c r="AO32" s="90"/>
      <c r="AP32" s="88"/>
      <c r="AQ32" s="472"/>
      <c r="AR32" s="472"/>
      <c r="AS32" s="475">
        <v>7</v>
      </c>
      <c r="AT32" s="478" t="s">
        <v>11</v>
      </c>
      <c r="AU32" s="478" t="s">
        <v>11</v>
      </c>
      <c r="AV32" s="476" t="s">
        <v>10</v>
      </c>
      <c r="AW32" s="480">
        <v>0</v>
      </c>
      <c r="AX32" s="480">
        <v>0</v>
      </c>
      <c r="AY32" s="478"/>
      <c r="AZ32" s="479"/>
      <c r="BA32" s="473"/>
      <c r="BB32" s="473"/>
      <c r="BC32" s="17"/>
      <c r="BD32" s="17"/>
      <c r="BE32" s="17"/>
      <c r="BF32" s="17"/>
      <c r="BG32" s="17"/>
    </row>
    <row r="33" spans="1:59" ht="18" customHeight="1" x14ac:dyDescent="0.35">
      <c r="A33" s="249" t="s">
        <v>209</v>
      </c>
      <c r="B33" s="88"/>
      <c r="C33" s="88"/>
      <c r="D33" s="221" t="s">
        <v>45</v>
      </c>
      <c r="E33" s="229" t="s">
        <v>46</v>
      </c>
      <c r="F33" s="262">
        <v>1.3</v>
      </c>
      <c r="G33" s="263">
        <v>1.05</v>
      </c>
      <c r="H33" s="198"/>
      <c r="I33" s="199"/>
      <c r="J33" s="199"/>
      <c r="K33" s="200"/>
      <c r="L33" s="115"/>
      <c r="M33" s="116"/>
      <c r="N33" s="117"/>
      <c r="O33" s="198"/>
      <c r="P33" s="199"/>
      <c r="Q33" s="199"/>
      <c r="R33" s="200"/>
      <c r="S33" s="88"/>
      <c r="T33" s="88"/>
      <c r="U33" s="88"/>
      <c r="V33" s="90"/>
      <c r="W33" s="90"/>
      <c r="X33" s="90"/>
      <c r="Y33" s="90"/>
      <c r="Z33" s="90"/>
      <c r="AA33" s="90"/>
      <c r="AB33" s="90"/>
      <c r="AC33" s="90"/>
      <c r="AD33" s="90"/>
      <c r="AE33" s="90"/>
      <c r="AF33" s="90"/>
      <c r="AG33" s="90"/>
      <c r="AH33" s="90"/>
      <c r="AI33" s="90"/>
      <c r="AJ33" s="90"/>
      <c r="AK33" s="90"/>
      <c r="AL33" s="90"/>
      <c r="AM33" s="90"/>
      <c r="AN33" s="90"/>
      <c r="AO33" s="90"/>
      <c r="AP33" s="88"/>
      <c r="AQ33" s="472"/>
      <c r="AR33" s="472"/>
      <c r="AS33" s="475">
        <v>8</v>
      </c>
      <c r="AT33" s="481" t="s">
        <v>254</v>
      </c>
      <c r="AU33" s="482" t="s">
        <v>25</v>
      </c>
      <c r="AV33" s="483" t="s">
        <v>255</v>
      </c>
      <c r="AW33" s="484">
        <v>201.8</v>
      </c>
      <c r="AX33" s="484">
        <f>'Board Power'!G7</f>
        <v>151.74</v>
      </c>
      <c r="AY33" s="478"/>
      <c r="AZ33" s="479"/>
      <c r="BA33" s="473"/>
      <c r="BB33" s="473"/>
      <c r="BC33" s="17"/>
      <c r="BD33" s="17"/>
      <c r="BE33" s="17"/>
      <c r="BF33" s="17"/>
      <c r="BG33" s="17"/>
    </row>
    <row r="34" spans="1:59" ht="18" customHeight="1" x14ac:dyDescent="0.35">
      <c r="A34" s="249" t="s">
        <v>216</v>
      </c>
      <c r="B34" s="88"/>
      <c r="C34" s="88"/>
      <c r="D34" s="221" t="s">
        <v>48</v>
      </c>
      <c r="E34" s="230" t="s">
        <v>49</v>
      </c>
      <c r="F34" s="264">
        <v>0.85</v>
      </c>
      <c r="G34" s="265">
        <v>0.55000000000000004</v>
      </c>
      <c r="H34" s="198">
        <v>8</v>
      </c>
      <c r="I34" s="199"/>
      <c r="J34" s="199"/>
      <c r="K34" s="200"/>
      <c r="L34" s="115"/>
      <c r="M34" s="116"/>
      <c r="N34" s="117"/>
      <c r="O34" s="198"/>
      <c r="P34" s="199"/>
      <c r="Q34" s="199"/>
      <c r="R34" s="200"/>
      <c r="S34" s="88"/>
      <c r="T34" s="88"/>
      <c r="U34" s="88"/>
      <c r="V34" s="90"/>
      <c r="W34" s="90"/>
      <c r="X34" s="90"/>
      <c r="Y34" s="90"/>
      <c r="Z34" s="90"/>
      <c r="AA34" s="90"/>
      <c r="AB34" s="90"/>
      <c r="AC34" s="90"/>
      <c r="AD34" s="90"/>
      <c r="AE34" s="90"/>
      <c r="AF34" s="90"/>
      <c r="AG34" s="90"/>
      <c r="AH34" s="90"/>
      <c r="AI34" s="90"/>
      <c r="AJ34" s="90"/>
      <c r="AK34" s="90"/>
      <c r="AL34" s="90"/>
      <c r="AM34" s="90"/>
      <c r="AN34" s="90"/>
      <c r="AO34" s="90"/>
      <c r="AP34" s="88"/>
      <c r="AQ34" s="472"/>
      <c r="AR34" s="472"/>
      <c r="AS34" s="475">
        <v>9</v>
      </c>
      <c r="AT34" s="481" t="s">
        <v>250</v>
      </c>
      <c r="AU34" s="482" t="s">
        <v>26</v>
      </c>
      <c r="AV34" s="483" t="s">
        <v>256</v>
      </c>
      <c r="AW34" s="484">
        <v>297.3</v>
      </c>
      <c r="AX34" s="484">
        <f>'Board Power'!G8</f>
        <v>223.56</v>
      </c>
      <c r="AY34" s="478"/>
      <c r="AZ34" s="479"/>
      <c r="BA34" s="473"/>
      <c r="BB34" s="473"/>
      <c r="BC34" s="17"/>
      <c r="BD34" s="17"/>
      <c r="BE34" s="17"/>
      <c r="BF34" s="17"/>
      <c r="BG34" s="17"/>
    </row>
    <row r="35" spans="1:59" ht="18" customHeight="1" x14ac:dyDescent="0.35">
      <c r="A35" s="249" t="s">
        <v>217</v>
      </c>
      <c r="B35" s="88"/>
      <c r="C35" s="88"/>
      <c r="D35" s="221" t="s">
        <v>52</v>
      </c>
      <c r="E35" s="230" t="s">
        <v>53</v>
      </c>
      <c r="F35" s="262">
        <v>1</v>
      </c>
      <c r="G35" s="263">
        <v>0.55000000000000004</v>
      </c>
      <c r="H35" s="198">
        <v>8</v>
      </c>
      <c r="I35" s="199"/>
      <c r="J35" s="199"/>
      <c r="K35" s="200"/>
      <c r="L35" s="115"/>
      <c r="M35" s="116"/>
      <c r="N35" s="117"/>
      <c r="O35" s="198"/>
      <c r="P35" s="199"/>
      <c r="Q35" s="199"/>
      <c r="R35" s="200"/>
      <c r="S35" s="88"/>
      <c r="T35" s="88"/>
      <c r="U35" s="88"/>
      <c r="V35" s="90"/>
      <c r="W35" s="90"/>
      <c r="X35" s="90"/>
      <c r="Y35" s="90"/>
      <c r="Z35" s="90"/>
      <c r="AA35" s="90"/>
      <c r="AB35" s="90"/>
      <c r="AC35" s="90"/>
      <c r="AD35" s="90"/>
      <c r="AE35" s="90"/>
      <c r="AF35" s="90"/>
      <c r="AG35" s="90"/>
      <c r="AH35" s="90"/>
      <c r="AI35" s="90"/>
      <c r="AJ35" s="90"/>
      <c r="AK35" s="90"/>
      <c r="AL35" s="90"/>
      <c r="AM35" s="90"/>
      <c r="AN35" s="90"/>
      <c r="AO35" s="90"/>
      <c r="AP35" s="88"/>
      <c r="AQ35" s="472"/>
      <c r="AR35" s="472"/>
      <c r="AS35" s="475">
        <v>10</v>
      </c>
      <c r="AT35" s="481" t="s">
        <v>251</v>
      </c>
      <c r="AU35" s="482" t="s">
        <v>27</v>
      </c>
      <c r="AV35" s="483" t="s">
        <v>257</v>
      </c>
      <c r="AW35" s="484">
        <v>201.1</v>
      </c>
      <c r="AX35" s="484">
        <v>151.19999999999999</v>
      </c>
      <c r="AY35" s="478"/>
      <c r="AZ35" s="479"/>
      <c r="BA35" s="473"/>
      <c r="BB35" s="473"/>
      <c r="BC35" s="17"/>
      <c r="BD35" s="17"/>
      <c r="BE35" s="17"/>
      <c r="BF35" s="17"/>
      <c r="BG35" s="17"/>
    </row>
    <row r="36" spans="1:59" ht="18" customHeight="1" x14ac:dyDescent="0.35">
      <c r="A36" s="249" t="s">
        <v>223</v>
      </c>
      <c r="B36" s="88"/>
      <c r="C36" s="88"/>
      <c r="D36" s="221" t="s">
        <v>56</v>
      </c>
      <c r="E36" s="230" t="s">
        <v>57</v>
      </c>
      <c r="F36" s="262">
        <v>1.2</v>
      </c>
      <c r="G36" s="263">
        <v>0.6</v>
      </c>
      <c r="H36" s="198">
        <v>2</v>
      </c>
      <c r="I36" s="199"/>
      <c r="J36" s="199"/>
      <c r="K36" s="200"/>
      <c r="L36" s="115"/>
      <c r="M36" s="116"/>
      <c r="N36" s="117"/>
      <c r="O36" s="198"/>
      <c r="P36" s="199"/>
      <c r="Q36" s="199"/>
      <c r="R36" s="200"/>
      <c r="S36" s="88"/>
      <c r="T36" s="88"/>
      <c r="U36" s="88"/>
      <c r="V36" s="90"/>
      <c r="W36" s="90"/>
      <c r="X36" s="90"/>
      <c r="Y36" s="90"/>
      <c r="Z36" s="90"/>
      <c r="AA36" s="90"/>
      <c r="AB36" s="90"/>
      <c r="AC36" s="90"/>
      <c r="AD36" s="90"/>
      <c r="AE36" s="90"/>
      <c r="AF36" s="90"/>
      <c r="AG36" s="90"/>
      <c r="AH36" s="90"/>
      <c r="AI36" s="90"/>
      <c r="AJ36" s="90"/>
      <c r="AK36" s="90"/>
      <c r="AL36" s="90"/>
      <c r="AM36" s="90"/>
      <c r="AN36" s="90"/>
      <c r="AO36" s="90"/>
      <c r="AP36" s="88"/>
      <c r="AQ36" s="472"/>
      <c r="AR36" s="472"/>
      <c r="AS36" s="475">
        <v>11</v>
      </c>
      <c r="AT36" s="481" t="s">
        <v>252</v>
      </c>
      <c r="AU36" s="482" t="s">
        <v>28</v>
      </c>
      <c r="AV36" s="483" t="s">
        <v>258</v>
      </c>
      <c r="AW36" s="484">
        <v>196.1</v>
      </c>
      <c r="AX36" s="484">
        <f>'Board Power'!G5</f>
        <v>147.41999999999999</v>
      </c>
      <c r="AY36" s="478"/>
      <c r="AZ36" s="479"/>
      <c r="BA36" s="473"/>
      <c r="BB36" s="473"/>
      <c r="BC36" s="17"/>
      <c r="BD36" s="17"/>
      <c r="BE36" s="17"/>
      <c r="BF36" s="17"/>
      <c r="BG36" s="17"/>
    </row>
    <row r="37" spans="1:59" ht="18" customHeight="1" x14ac:dyDescent="0.35">
      <c r="A37" s="88"/>
      <c r="B37" s="88"/>
      <c r="C37" s="88"/>
      <c r="D37" s="221" t="s">
        <v>60</v>
      </c>
      <c r="E37" s="230" t="s">
        <v>61</v>
      </c>
      <c r="F37" s="262">
        <v>1</v>
      </c>
      <c r="G37" s="263">
        <v>0.8</v>
      </c>
      <c r="H37" s="198"/>
      <c r="I37" s="199"/>
      <c r="J37" s="199"/>
      <c r="K37" s="200"/>
      <c r="L37" s="115"/>
      <c r="M37" s="116"/>
      <c r="N37" s="117"/>
      <c r="O37" s="198"/>
      <c r="P37" s="199"/>
      <c r="Q37" s="199"/>
      <c r="R37" s="200"/>
      <c r="S37" s="88"/>
      <c r="T37" s="88"/>
      <c r="U37" s="88"/>
      <c r="V37" s="90"/>
      <c r="W37" s="90"/>
      <c r="X37" s="90"/>
      <c r="Y37" s="90"/>
      <c r="Z37" s="90"/>
      <c r="AA37" s="90"/>
      <c r="AB37" s="90"/>
      <c r="AC37" s="90"/>
      <c r="AD37" s="90"/>
      <c r="AE37" s="90"/>
      <c r="AF37" s="90"/>
      <c r="AG37" s="90"/>
      <c r="AH37" s="90"/>
      <c r="AI37" s="90"/>
      <c r="AJ37" s="90"/>
      <c r="AK37" s="90"/>
      <c r="AL37" s="90"/>
      <c r="AM37" s="90"/>
      <c r="AN37" s="90"/>
      <c r="AO37" s="90"/>
      <c r="AP37" s="88"/>
      <c r="AQ37" s="472"/>
      <c r="AR37" s="472"/>
      <c r="AS37" s="472"/>
      <c r="AT37" s="472"/>
      <c r="AU37" s="472"/>
      <c r="AV37" s="472"/>
      <c r="AW37" s="472"/>
      <c r="AX37" s="472"/>
      <c r="AY37" s="478"/>
      <c r="AZ37" s="479"/>
      <c r="BA37" s="473"/>
      <c r="BB37" s="473"/>
      <c r="BC37" s="17"/>
      <c r="BD37" s="17"/>
      <c r="BE37" s="17"/>
      <c r="BF37" s="17"/>
      <c r="BG37" s="17"/>
    </row>
    <row r="38" spans="1:59" ht="18" customHeight="1" x14ac:dyDescent="0.35">
      <c r="A38" s="88"/>
      <c r="B38" s="88"/>
      <c r="C38" s="88"/>
      <c r="D38" s="221" t="s">
        <v>63</v>
      </c>
      <c r="E38" s="230" t="s">
        <v>64</v>
      </c>
      <c r="F38" s="262">
        <v>1</v>
      </c>
      <c r="G38" s="263">
        <v>0.8</v>
      </c>
      <c r="H38" s="198"/>
      <c r="I38" s="199"/>
      <c r="J38" s="199"/>
      <c r="K38" s="200"/>
      <c r="L38" s="115"/>
      <c r="M38" s="116"/>
      <c r="N38" s="117"/>
      <c r="O38" s="198"/>
      <c r="P38" s="199"/>
      <c r="Q38" s="199"/>
      <c r="R38" s="200"/>
      <c r="S38" s="88"/>
      <c r="T38" s="88"/>
      <c r="U38" s="88"/>
      <c r="V38" s="90"/>
      <c r="W38" s="90"/>
      <c r="X38" s="90"/>
      <c r="Y38" s="90"/>
      <c r="Z38" s="90"/>
      <c r="AA38" s="90"/>
      <c r="AB38" s="90"/>
      <c r="AC38" s="90"/>
      <c r="AD38" s="90"/>
      <c r="AE38" s="90"/>
      <c r="AF38" s="90"/>
      <c r="AG38" s="90"/>
      <c r="AH38" s="90"/>
      <c r="AI38" s="90"/>
      <c r="AJ38" s="90"/>
      <c r="AK38" s="90"/>
      <c r="AL38" s="90"/>
      <c r="AM38" s="90"/>
      <c r="AN38" s="90"/>
      <c r="AO38" s="90"/>
      <c r="AP38" s="88"/>
      <c r="AQ38" s="472"/>
      <c r="AR38" s="472"/>
      <c r="AS38" s="472"/>
      <c r="AT38" s="472"/>
      <c r="AU38" s="472"/>
      <c r="AV38" s="472"/>
      <c r="AW38" s="472"/>
      <c r="AX38" s="472"/>
      <c r="AY38" s="478"/>
      <c r="AZ38" s="479"/>
      <c r="BA38" s="473"/>
      <c r="BB38" s="473"/>
      <c r="BC38" s="17"/>
      <c r="BD38" s="17"/>
      <c r="BE38" s="17"/>
      <c r="BF38" s="17"/>
      <c r="BG38" s="17"/>
    </row>
    <row r="39" spans="1:59" ht="18" customHeight="1" x14ac:dyDescent="0.35">
      <c r="A39" s="88"/>
      <c r="B39" s="88"/>
      <c r="C39" s="88"/>
      <c r="D39" s="221" t="s">
        <v>66</v>
      </c>
      <c r="E39" s="230" t="s">
        <v>53</v>
      </c>
      <c r="F39" s="262">
        <v>1</v>
      </c>
      <c r="G39" s="263">
        <v>0.8</v>
      </c>
      <c r="H39" s="198"/>
      <c r="I39" s="199"/>
      <c r="J39" s="199"/>
      <c r="K39" s="200"/>
      <c r="L39" s="115"/>
      <c r="M39" s="116"/>
      <c r="N39" s="117"/>
      <c r="O39" s="198"/>
      <c r="P39" s="199"/>
      <c r="Q39" s="199"/>
      <c r="R39" s="200"/>
      <c r="S39" s="88"/>
      <c r="T39" s="88"/>
      <c r="U39" s="88"/>
      <c r="V39" s="90"/>
      <c r="W39" s="90"/>
      <c r="X39" s="90"/>
      <c r="Y39" s="90"/>
      <c r="Z39" s="90"/>
      <c r="AA39" s="90"/>
      <c r="AB39" s="90"/>
      <c r="AC39" s="90"/>
      <c r="AD39" s="90"/>
      <c r="AE39" s="90"/>
      <c r="AF39" s="90"/>
      <c r="AG39" s="90"/>
      <c r="AH39" s="90"/>
      <c r="AI39" s="90"/>
      <c r="AJ39" s="90"/>
      <c r="AK39" s="90"/>
      <c r="AL39" s="90"/>
      <c r="AM39" s="90"/>
      <c r="AN39" s="90"/>
      <c r="AO39" s="90"/>
      <c r="AP39" s="88"/>
      <c r="AQ39" s="472"/>
      <c r="AR39" s="472"/>
      <c r="AS39" s="472"/>
      <c r="AT39" s="472"/>
      <c r="AU39" s="472"/>
      <c r="AV39" s="472"/>
      <c r="AW39" s="472"/>
      <c r="AX39" s="472"/>
      <c r="AY39" s="478"/>
      <c r="AZ39" s="479"/>
      <c r="BA39" s="473"/>
      <c r="BB39" s="473"/>
      <c r="BC39" s="17"/>
      <c r="BD39" s="17"/>
      <c r="BE39" s="17"/>
      <c r="BF39" s="17"/>
      <c r="BG39" s="17"/>
    </row>
    <row r="40" spans="1:59" ht="18" customHeight="1" x14ac:dyDescent="0.35">
      <c r="A40" s="88"/>
      <c r="B40" s="88"/>
      <c r="C40" s="88"/>
      <c r="D40" s="221" t="s">
        <v>69</v>
      </c>
      <c r="E40" s="230" t="s">
        <v>53</v>
      </c>
      <c r="F40" s="262">
        <v>1</v>
      </c>
      <c r="G40" s="263">
        <v>0.8</v>
      </c>
      <c r="H40" s="198"/>
      <c r="I40" s="199"/>
      <c r="J40" s="199"/>
      <c r="K40" s="200"/>
      <c r="L40" s="115"/>
      <c r="M40" s="116"/>
      <c r="N40" s="117"/>
      <c r="O40" s="198"/>
      <c r="P40" s="199"/>
      <c r="Q40" s="199"/>
      <c r="R40" s="200"/>
      <c r="S40" s="88"/>
      <c r="T40" s="88"/>
      <c r="U40" s="88"/>
      <c r="V40" s="90"/>
      <c r="W40" s="90"/>
      <c r="X40" s="90"/>
      <c r="Y40" s="90"/>
      <c r="Z40" s="90"/>
      <c r="AA40" s="90"/>
      <c r="AB40" s="90"/>
      <c r="AC40" s="90"/>
      <c r="AD40" s="90"/>
      <c r="AE40" s="90"/>
      <c r="AF40" s="90"/>
      <c r="AG40" s="90"/>
      <c r="AH40" s="90"/>
      <c r="AI40" s="90"/>
      <c r="AJ40" s="90"/>
      <c r="AK40" s="90"/>
      <c r="AL40" s="90"/>
      <c r="AM40" s="90"/>
      <c r="AN40" s="90"/>
      <c r="AO40" s="90"/>
      <c r="AP40" s="88"/>
      <c r="AQ40" s="472"/>
      <c r="AR40" s="472"/>
      <c r="AS40" s="472"/>
      <c r="AT40" s="472"/>
      <c r="AU40" s="472"/>
      <c r="AV40" s="472"/>
      <c r="AW40" s="472"/>
      <c r="AX40" s="472"/>
      <c r="AY40" s="478"/>
      <c r="AZ40" s="479"/>
      <c r="BA40" s="473"/>
      <c r="BB40" s="473"/>
      <c r="BC40" s="17"/>
      <c r="BD40" s="17"/>
      <c r="BE40" s="17"/>
      <c r="BF40" s="17"/>
      <c r="BG40" s="17"/>
    </row>
    <row r="41" spans="1:59" ht="18" customHeight="1" thickBot="1" x14ac:dyDescent="0.4">
      <c r="A41" s="88"/>
      <c r="B41" s="88"/>
      <c r="C41" s="88"/>
      <c r="D41" s="223" t="s">
        <v>70</v>
      </c>
      <c r="E41" s="231" t="s">
        <v>71</v>
      </c>
      <c r="F41" s="266">
        <v>1</v>
      </c>
      <c r="G41" s="267">
        <v>0.8</v>
      </c>
      <c r="H41" s="201"/>
      <c r="I41" s="202"/>
      <c r="J41" s="202"/>
      <c r="K41" s="203"/>
      <c r="L41" s="124"/>
      <c r="M41" s="125"/>
      <c r="N41" s="126"/>
      <c r="O41" s="204"/>
      <c r="P41" s="205"/>
      <c r="Q41" s="205"/>
      <c r="R41" s="206"/>
      <c r="S41" s="88"/>
      <c r="T41" s="88"/>
      <c r="U41" s="88"/>
      <c r="V41" s="90"/>
      <c r="W41" s="90"/>
      <c r="X41" s="90"/>
      <c r="Y41" s="90"/>
      <c r="Z41" s="90"/>
      <c r="AA41" s="90"/>
      <c r="AB41" s="90"/>
      <c r="AC41" s="90"/>
      <c r="AD41" s="90"/>
      <c r="AE41" s="90"/>
      <c r="AF41" s="90"/>
      <c r="AG41" s="90"/>
      <c r="AH41" s="90"/>
      <c r="AI41" s="90"/>
      <c r="AJ41" s="90"/>
      <c r="AK41" s="90"/>
      <c r="AL41" s="90"/>
      <c r="AM41" s="90"/>
      <c r="AN41" s="90"/>
      <c r="AO41" s="90"/>
      <c r="AP41" s="88"/>
      <c r="AQ41" s="472"/>
      <c r="AR41" s="472"/>
      <c r="AS41" s="475"/>
      <c r="AT41" s="476"/>
      <c r="AU41" s="485" t="s">
        <v>16</v>
      </c>
      <c r="AV41" s="486" t="s">
        <v>16</v>
      </c>
      <c r="AW41" s="487">
        <v>0</v>
      </c>
      <c r="AX41" s="488">
        <v>0</v>
      </c>
      <c r="AY41" s="478"/>
      <c r="AZ41" s="479"/>
      <c r="BA41" s="473"/>
      <c r="BB41" s="473"/>
      <c r="BC41" s="17"/>
      <c r="BD41" s="17"/>
      <c r="BE41" s="17"/>
      <c r="BF41" s="17"/>
      <c r="BG41" s="17"/>
    </row>
    <row r="42" spans="1:59" ht="18" customHeight="1" x14ac:dyDescent="0.35">
      <c r="A42" s="88"/>
      <c r="B42" s="88"/>
      <c r="C42" s="88"/>
      <c r="D42" s="216"/>
      <c r="E42" s="225" t="s">
        <v>21</v>
      </c>
      <c r="F42" s="268">
        <v>0.01</v>
      </c>
      <c r="G42" s="269">
        <v>3.0000000000000001E-3</v>
      </c>
      <c r="H42" s="332"/>
      <c r="I42" s="333"/>
      <c r="J42" s="333"/>
      <c r="K42" s="334"/>
      <c r="L42" s="127"/>
      <c r="M42" s="128"/>
      <c r="N42" s="129"/>
      <c r="O42" s="207"/>
      <c r="P42" s="208"/>
      <c r="Q42" s="208"/>
      <c r="R42" s="209"/>
      <c r="S42" s="88"/>
      <c r="T42" s="88"/>
      <c r="U42" s="88"/>
      <c r="V42" s="90"/>
      <c r="W42" s="90"/>
      <c r="X42" s="90"/>
      <c r="Y42" s="90"/>
      <c r="Z42" s="90"/>
      <c r="AA42" s="90"/>
      <c r="AB42" s="90"/>
      <c r="AC42" s="90"/>
      <c r="AD42" s="90"/>
      <c r="AE42" s="90"/>
      <c r="AF42" s="90"/>
      <c r="AG42" s="90"/>
      <c r="AH42" s="90"/>
      <c r="AI42" s="90"/>
      <c r="AJ42" s="90"/>
      <c r="AK42" s="90"/>
      <c r="AL42" s="90"/>
      <c r="AM42" s="90"/>
      <c r="AN42" s="90"/>
      <c r="AO42" s="90"/>
      <c r="AP42" s="88"/>
      <c r="AQ42" s="472"/>
      <c r="AR42" s="472"/>
      <c r="AS42" s="475"/>
      <c r="AT42" s="476" t="s">
        <v>13</v>
      </c>
      <c r="AU42" s="476" t="s">
        <v>29</v>
      </c>
      <c r="AV42" s="476" t="s">
        <v>12</v>
      </c>
      <c r="AW42" s="489" t="s">
        <v>19</v>
      </c>
      <c r="AX42" s="485" t="s">
        <v>160</v>
      </c>
      <c r="AY42" s="485" t="s">
        <v>161</v>
      </c>
      <c r="AZ42" s="490"/>
      <c r="BA42" s="473"/>
      <c r="BB42" s="473"/>
      <c r="BC42" s="17"/>
      <c r="BD42" s="17"/>
      <c r="BE42" s="17"/>
      <c r="BF42" s="17"/>
      <c r="BG42" s="17"/>
    </row>
    <row r="43" spans="1:59" ht="18" customHeight="1" thickBot="1" x14ac:dyDescent="0.4">
      <c r="A43" s="88"/>
      <c r="B43" s="88"/>
      <c r="C43" s="88"/>
      <c r="D43" s="217"/>
      <c r="E43" s="219" t="s">
        <v>134</v>
      </c>
      <c r="F43" s="270">
        <v>1</v>
      </c>
      <c r="G43" s="271">
        <v>0.34</v>
      </c>
      <c r="H43" s="201"/>
      <c r="I43" s="202"/>
      <c r="J43" s="202"/>
      <c r="K43" s="203"/>
      <c r="L43" s="118"/>
      <c r="M43" s="119"/>
      <c r="N43" s="120"/>
      <c r="O43" s="201"/>
      <c r="P43" s="202"/>
      <c r="Q43" s="202"/>
      <c r="R43" s="203"/>
      <c r="S43" s="88"/>
      <c r="T43" s="88"/>
      <c r="U43" s="88"/>
      <c r="V43" s="90"/>
      <c r="W43" s="90"/>
      <c r="X43" s="90"/>
      <c r="Y43" s="90"/>
      <c r="Z43" s="90"/>
      <c r="AA43" s="90"/>
      <c r="AB43" s="90"/>
      <c r="AC43" s="90"/>
      <c r="AD43" s="90"/>
      <c r="AE43" s="90"/>
      <c r="AF43" s="90"/>
      <c r="AG43" s="90"/>
      <c r="AH43" s="90"/>
      <c r="AI43" s="90"/>
      <c r="AJ43" s="90"/>
      <c r="AK43" s="90"/>
      <c r="AL43" s="90"/>
      <c r="AM43" s="90"/>
      <c r="AN43" s="90"/>
      <c r="AO43" s="90"/>
      <c r="AP43" s="88"/>
      <c r="AQ43" s="472"/>
      <c r="AR43" s="472"/>
      <c r="AS43" s="475">
        <v>19</v>
      </c>
      <c r="AT43" s="478" t="s">
        <v>11</v>
      </c>
      <c r="AU43" s="478" t="s">
        <v>11</v>
      </c>
      <c r="AV43" s="476" t="s">
        <v>10</v>
      </c>
      <c r="AW43" s="480">
        <v>0</v>
      </c>
      <c r="AX43" s="480">
        <v>0</v>
      </c>
      <c r="AY43" s="478"/>
      <c r="AZ43" s="490"/>
      <c r="BA43" s="473"/>
      <c r="BB43" s="473"/>
      <c r="BC43" s="17"/>
      <c r="BD43" s="17"/>
      <c r="BE43" s="17"/>
      <c r="BF43" s="17"/>
      <c r="BG43" s="17"/>
    </row>
    <row r="44" spans="1:59" ht="33" customHeight="1" thickBot="1" x14ac:dyDescent="0.4">
      <c r="A44" s="88"/>
      <c r="B44" s="88"/>
      <c r="C44" s="88"/>
      <c r="D44" s="232"/>
      <c r="E44" s="240" t="s">
        <v>148</v>
      </c>
      <c r="F44" s="93"/>
      <c r="G44" s="94"/>
      <c r="H44" s="187">
        <f>H32*$F32+H33*$F33+H34*$F34+H35*$F35+H36*$F36+H37*$F37+H38*$F38+H39*$F39+H40*$F40+H41*$F41+H43*$F43</f>
        <v>17.2</v>
      </c>
      <c r="I44" s="187">
        <f t="shared" ref="I44:K44" si="4">I32*$F32+I33*$F33+I34*$F34+I35*$F35+I36*$F36+I37*$F37+I38*$F38+I39*$F39+I40*$F40+I41*$F41+I43*$F43</f>
        <v>0</v>
      </c>
      <c r="J44" s="187">
        <f t="shared" si="4"/>
        <v>0</v>
      </c>
      <c r="K44" s="187">
        <f t="shared" si="4"/>
        <v>0</v>
      </c>
      <c r="L44" s="122"/>
      <c r="M44" s="122"/>
      <c r="N44" s="123"/>
      <c r="O44" s="187">
        <f t="shared" ref="O44:R44" si="5">O32*$F32+O33*$F33+O34*$F34+O35*$F35+O36*$F36+O37*$F37+O38*$F38+O39*$F39+O40*$F40+O41*$F41+O43*$F43</f>
        <v>0</v>
      </c>
      <c r="P44" s="187">
        <f t="shared" si="5"/>
        <v>0</v>
      </c>
      <c r="Q44" s="187">
        <f t="shared" si="5"/>
        <v>0</v>
      </c>
      <c r="R44" s="187">
        <f t="shared" si="5"/>
        <v>0</v>
      </c>
      <c r="S44" s="88"/>
      <c r="T44" s="88"/>
      <c r="U44" s="88"/>
      <c r="V44" s="90"/>
      <c r="W44" s="90"/>
      <c r="X44" s="90"/>
      <c r="Y44" s="90"/>
      <c r="Z44" s="90"/>
      <c r="AA44" s="90"/>
      <c r="AB44" s="90"/>
      <c r="AC44" s="90"/>
      <c r="AD44" s="90"/>
      <c r="AE44" s="90"/>
      <c r="AF44" s="90"/>
      <c r="AG44" s="90"/>
      <c r="AH44" s="90"/>
      <c r="AI44" s="90"/>
      <c r="AJ44" s="90"/>
      <c r="AK44" s="90"/>
      <c r="AL44" s="90"/>
      <c r="AM44" s="90"/>
      <c r="AN44" s="90"/>
      <c r="AO44" s="90"/>
      <c r="AP44" s="88"/>
      <c r="AQ44" s="472"/>
      <c r="AR44" s="472"/>
      <c r="AS44" s="475">
        <v>20</v>
      </c>
      <c r="AT44" s="481" t="s">
        <v>253</v>
      </c>
      <c r="AU44" s="482" t="s">
        <v>24</v>
      </c>
      <c r="AV44" s="483" t="s">
        <v>259</v>
      </c>
      <c r="AW44" s="478">
        <v>153.69999999999999</v>
      </c>
      <c r="AX44" s="484">
        <v>115.6</v>
      </c>
      <c r="AY44" s="478"/>
      <c r="AZ44" s="490"/>
      <c r="BA44" s="473"/>
      <c r="BB44" s="473"/>
      <c r="BC44" s="17"/>
      <c r="BD44" s="17"/>
      <c r="BE44" s="17"/>
      <c r="BF44" s="17"/>
      <c r="BG44" s="17"/>
    </row>
    <row r="45" spans="1:59" ht="33.75" customHeight="1" thickBot="1" x14ac:dyDescent="0.4">
      <c r="A45" s="88"/>
      <c r="B45" s="88"/>
      <c r="C45" s="88"/>
      <c r="D45" s="232"/>
      <c r="E45" s="240" t="s">
        <v>149</v>
      </c>
      <c r="F45" s="95"/>
      <c r="G45" s="96"/>
      <c r="H45" s="189">
        <f>H32*$G32+H33*$G33+H34*$G34+H35*$G35+H36*$G36+H37*$G37+H38*$G38+H39*$G39+H40*$G40+H43*$G43</f>
        <v>10</v>
      </c>
      <c r="I45" s="189">
        <f t="shared" ref="I45:K45" si="6">I32*$G32+I33*$G33+I34*$G34+I35*$G35+I36*$G36+I37*$G37+I38*$G38+I39*$G39+I40*$G40+I43*$G43</f>
        <v>0</v>
      </c>
      <c r="J45" s="189">
        <f t="shared" si="6"/>
        <v>0</v>
      </c>
      <c r="K45" s="189">
        <f t="shared" si="6"/>
        <v>0</v>
      </c>
      <c r="L45" s="122"/>
      <c r="M45" s="122"/>
      <c r="N45" s="123"/>
      <c r="O45" s="190">
        <f>O32*$G32+O33*$G33+O34*$G34+O35*$G35+O36*$G36+O37*$G37+O38*$G38+O39*$G39+O40*$G40+O43*$G43</f>
        <v>0</v>
      </c>
      <c r="P45" s="189">
        <f t="shared" ref="P45:R45" si="7">P32*$G32+P33*$G33+P34*$G34+P35*$G35+P36*$G36+P37*$G37+P38*$G38+P39*$G39+P40*$G40+P43*$G43</f>
        <v>0</v>
      </c>
      <c r="Q45" s="189">
        <f t="shared" si="7"/>
        <v>0</v>
      </c>
      <c r="R45" s="191">
        <f t="shared" si="7"/>
        <v>0</v>
      </c>
      <c r="S45" s="88"/>
      <c r="T45" s="88"/>
      <c r="U45" s="88"/>
      <c r="V45" s="90"/>
      <c r="W45" s="90"/>
      <c r="X45" s="90"/>
      <c r="Y45" s="90"/>
      <c r="Z45" s="90"/>
      <c r="AA45" s="90"/>
      <c r="AB45" s="90"/>
      <c r="AC45" s="90"/>
      <c r="AD45" s="90"/>
      <c r="AE45" s="90"/>
      <c r="AF45" s="90"/>
      <c r="AG45" s="90"/>
      <c r="AH45" s="90"/>
      <c r="AI45" s="90"/>
      <c r="AJ45" s="90"/>
      <c r="AK45" s="90"/>
      <c r="AL45" s="90"/>
      <c r="AM45" s="90"/>
      <c r="AN45" s="90"/>
      <c r="AO45" s="90"/>
      <c r="AP45" s="88"/>
      <c r="AQ45" s="472"/>
      <c r="AR45" s="472"/>
      <c r="AS45" s="475">
        <v>21</v>
      </c>
      <c r="AT45" s="476"/>
      <c r="AU45" s="485" t="s">
        <v>16</v>
      </c>
      <c r="AV45" s="486" t="s">
        <v>16</v>
      </c>
      <c r="AW45" s="480">
        <v>0</v>
      </c>
      <c r="AX45" s="485">
        <v>0</v>
      </c>
      <c r="AY45" s="478"/>
      <c r="AZ45" s="490"/>
      <c r="BA45" s="473"/>
      <c r="BB45" s="473"/>
      <c r="BC45" s="17"/>
      <c r="BD45" s="17"/>
      <c r="BE45" s="17"/>
      <c r="BF45" s="17"/>
      <c r="BG45" s="17"/>
    </row>
    <row r="46" spans="1:59" ht="21.75" thickBot="1" x14ac:dyDescent="0.4">
      <c r="A46" s="88"/>
      <c r="B46" s="88"/>
      <c r="C46" s="88"/>
      <c r="D46" s="88"/>
      <c r="E46" s="88"/>
      <c r="F46" s="88"/>
      <c r="G46" s="88"/>
      <c r="H46" s="92"/>
      <c r="I46" s="92"/>
      <c r="J46" s="92"/>
      <c r="K46" s="92"/>
      <c r="L46" s="92"/>
      <c r="M46" s="92"/>
      <c r="N46" s="92"/>
      <c r="O46" s="92"/>
      <c r="P46" s="92"/>
      <c r="Q46" s="92"/>
      <c r="R46" s="92"/>
      <c r="S46" s="88"/>
      <c r="T46" s="88"/>
      <c r="U46" s="88"/>
      <c r="V46" s="90"/>
      <c r="W46" s="90"/>
      <c r="X46" s="90"/>
      <c r="Y46" s="90"/>
      <c r="Z46" s="90"/>
      <c r="AA46" s="90"/>
      <c r="AB46" s="90"/>
      <c r="AC46" s="90"/>
      <c r="AD46" s="90"/>
      <c r="AE46" s="90"/>
      <c r="AF46" s="90"/>
      <c r="AG46" s="90"/>
      <c r="AH46" s="90"/>
      <c r="AI46" s="90"/>
      <c r="AJ46" s="90"/>
      <c r="AK46" s="90"/>
      <c r="AL46" s="90"/>
      <c r="AM46" s="90"/>
      <c r="AN46" s="90"/>
      <c r="AO46" s="90"/>
      <c r="AP46" s="88"/>
      <c r="AQ46" s="472"/>
      <c r="AR46" s="472"/>
      <c r="AS46" s="475"/>
      <c r="AT46" s="476" t="s">
        <v>14</v>
      </c>
      <c r="AU46" s="476"/>
      <c r="AV46" s="476" t="s">
        <v>12</v>
      </c>
      <c r="AW46" s="478" t="s">
        <v>159</v>
      </c>
      <c r="AX46" s="478" t="s">
        <v>188</v>
      </c>
      <c r="AY46" s="478" t="s">
        <v>189</v>
      </c>
      <c r="AZ46" s="491" t="s">
        <v>190</v>
      </c>
      <c r="BA46" s="473"/>
      <c r="BB46" s="473"/>
      <c r="BC46" s="17"/>
      <c r="BD46" s="17"/>
      <c r="BE46" s="17"/>
      <c r="BF46" s="17"/>
      <c r="BG46" s="17"/>
    </row>
    <row r="47" spans="1:59" x14ac:dyDescent="0.35">
      <c r="A47" s="88"/>
      <c r="B47" s="88"/>
      <c r="C47" s="88"/>
      <c r="D47" s="552" t="s">
        <v>231</v>
      </c>
      <c r="E47" s="553"/>
      <c r="F47" s="556" t="s">
        <v>201</v>
      </c>
      <c r="G47" s="557"/>
      <c r="H47" s="558" t="s">
        <v>200</v>
      </c>
      <c r="I47" s="559"/>
      <c r="J47" s="559"/>
      <c r="K47" s="559"/>
      <c r="L47" s="559"/>
      <c r="M47" s="559"/>
      <c r="N47" s="559"/>
      <c r="O47" s="559"/>
      <c r="P47" s="559"/>
      <c r="Q47" s="559"/>
      <c r="R47" s="560"/>
      <c r="S47" s="88"/>
      <c r="T47" s="88"/>
      <c r="U47" s="88"/>
      <c r="V47" s="90"/>
      <c r="W47" s="90"/>
      <c r="X47" s="90"/>
      <c r="Y47" s="90"/>
      <c r="Z47" s="90"/>
      <c r="AA47" s="90"/>
      <c r="AB47" s="90"/>
      <c r="AC47" s="90"/>
      <c r="AD47" s="90"/>
      <c r="AE47" s="90"/>
      <c r="AF47" s="90"/>
      <c r="AG47" s="90"/>
      <c r="AH47" s="90"/>
      <c r="AI47" s="90"/>
      <c r="AJ47" s="90"/>
      <c r="AK47" s="90"/>
      <c r="AL47" s="90"/>
      <c r="AM47" s="90"/>
      <c r="AN47" s="90"/>
      <c r="AO47" s="90"/>
      <c r="AP47" s="88"/>
      <c r="AQ47" s="472"/>
      <c r="AR47" s="472"/>
      <c r="AS47" s="475"/>
      <c r="AT47" s="478" t="s">
        <v>11</v>
      </c>
      <c r="AU47" s="478" t="s">
        <v>11</v>
      </c>
      <c r="AV47" s="476" t="s">
        <v>10</v>
      </c>
      <c r="AW47" s="480">
        <v>0</v>
      </c>
      <c r="AX47" s="478">
        <v>0</v>
      </c>
      <c r="AY47" s="478">
        <v>0</v>
      </c>
      <c r="AZ47" s="491">
        <v>0</v>
      </c>
      <c r="BA47" s="473"/>
      <c r="BB47" s="473"/>
      <c r="BC47" s="17"/>
      <c r="BD47" s="17"/>
      <c r="BE47" s="17"/>
      <c r="BF47" s="17"/>
      <c r="BG47" s="17"/>
    </row>
    <row r="48" spans="1:59" ht="24" thickBot="1" x14ac:dyDescent="0.4">
      <c r="A48" s="304" t="s">
        <v>212</v>
      </c>
      <c r="B48" s="88"/>
      <c r="C48" s="88"/>
      <c r="D48" s="554"/>
      <c r="E48" s="555"/>
      <c r="F48" s="285" t="s">
        <v>22</v>
      </c>
      <c r="G48" s="286" t="s">
        <v>23</v>
      </c>
      <c r="H48" s="561"/>
      <c r="I48" s="562"/>
      <c r="J48" s="562"/>
      <c r="K48" s="562"/>
      <c r="L48" s="562"/>
      <c r="M48" s="562"/>
      <c r="N48" s="562"/>
      <c r="O48" s="562"/>
      <c r="P48" s="562"/>
      <c r="Q48" s="562"/>
      <c r="R48" s="563"/>
      <c r="S48" s="88"/>
      <c r="T48" s="88"/>
      <c r="U48" s="88"/>
      <c r="V48" s="90"/>
      <c r="W48" s="90"/>
      <c r="X48" s="90"/>
      <c r="Y48" s="90"/>
      <c r="Z48" s="90"/>
      <c r="AA48" s="90"/>
      <c r="AB48" s="90"/>
      <c r="AC48" s="90"/>
      <c r="AD48" s="90"/>
      <c r="AE48" s="90"/>
      <c r="AF48" s="90"/>
      <c r="AG48" s="90"/>
      <c r="AH48" s="90"/>
      <c r="AI48" s="90"/>
      <c r="AJ48" s="90"/>
      <c r="AK48" s="90"/>
      <c r="AL48" s="90"/>
      <c r="AM48" s="90"/>
      <c r="AN48" s="90"/>
      <c r="AO48" s="90"/>
      <c r="AP48" s="88"/>
      <c r="AQ48" s="472"/>
      <c r="AR48" s="472"/>
      <c r="AS48" s="475">
        <v>24</v>
      </c>
      <c r="AT48" s="492" t="s">
        <v>137</v>
      </c>
      <c r="AU48" s="478"/>
      <c r="AV48" s="483" t="s">
        <v>260</v>
      </c>
      <c r="AW48" s="478">
        <f>'Board Power'!B18</f>
        <v>1400</v>
      </c>
      <c r="AX48" s="478">
        <f>'Board Power'!G18</f>
        <v>1260</v>
      </c>
      <c r="AY48" s="478">
        <f>'Board Power'!I18</f>
        <v>1120</v>
      </c>
      <c r="AZ48" s="491">
        <f>'Board Power'!J18</f>
        <v>980</v>
      </c>
      <c r="BA48" s="473"/>
      <c r="BB48" s="473"/>
      <c r="BC48" s="17"/>
      <c r="BD48" s="17"/>
      <c r="BE48" s="17"/>
      <c r="BF48" s="17"/>
      <c r="BG48" s="17"/>
    </row>
    <row r="49" spans="1:59" ht="18" customHeight="1" x14ac:dyDescent="0.35">
      <c r="A49" s="251" t="s">
        <v>208</v>
      </c>
      <c r="B49" s="88"/>
      <c r="C49" s="88"/>
      <c r="D49" s="216" t="s">
        <v>342</v>
      </c>
      <c r="E49" s="338" t="s">
        <v>76</v>
      </c>
      <c r="F49" s="343">
        <v>0.87</v>
      </c>
      <c r="G49" s="344">
        <v>0.7</v>
      </c>
      <c r="H49" s="195"/>
      <c r="I49" s="196"/>
      <c r="J49" s="196"/>
      <c r="K49" s="197"/>
      <c r="L49" s="112"/>
      <c r="M49" s="113"/>
      <c r="N49" s="114"/>
      <c r="O49" s="195"/>
      <c r="P49" s="196"/>
      <c r="Q49" s="196"/>
      <c r="R49" s="197">
        <v>12</v>
      </c>
      <c r="S49" s="88"/>
      <c r="T49" s="88"/>
      <c r="U49" s="88"/>
      <c r="V49" s="90"/>
      <c r="W49" s="90"/>
      <c r="X49" s="90"/>
      <c r="Y49" s="90"/>
      <c r="Z49" s="90"/>
      <c r="AA49" s="90"/>
      <c r="AB49" s="90"/>
      <c r="AC49" s="90"/>
      <c r="AD49" s="90"/>
      <c r="AE49" s="90"/>
      <c r="AF49" s="90"/>
      <c r="AG49" s="90"/>
      <c r="AH49" s="90"/>
      <c r="AI49" s="90"/>
      <c r="AJ49" s="90"/>
      <c r="AK49" s="90"/>
      <c r="AL49" s="90"/>
      <c r="AM49" s="90"/>
      <c r="AN49" s="90"/>
      <c r="AO49" s="90"/>
      <c r="AP49" s="88"/>
      <c r="AQ49" s="472"/>
      <c r="AR49" s="472"/>
      <c r="AS49" s="475">
        <v>25</v>
      </c>
      <c r="AT49" s="492" t="s">
        <v>138</v>
      </c>
      <c r="AU49" s="478"/>
      <c r="AV49" s="483" t="s">
        <v>260</v>
      </c>
      <c r="AW49" s="478">
        <f>'Board Power'!B19</f>
        <v>3000</v>
      </c>
      <c r="AX49" s="478">
        <f>'Board Power'!G19</f>
        <v>2700</v>
      </c>
      <c r="AY49" s="478">
        <f>'Board Power'!I19</f>
        <v>2400</v>
      </c>
      <c r="AZ49" s="491">
        <f>'Board Power'!J19</f>
        <v>2100</v>
      </c>
      <c r="BA49" s="473"/>
      <c r="BB49" s="473"/>
      <c r="BC49" s="17"/>
      <c r="BD49" s="17"/>
      <c r="BE49" s="17"/>
      <c r="BF49" s="17"/>
      <c r="BG49" s="17"/>
    </row>
    <row r="50" spans="1:59" ht="18" customHeight="1" x14ac:dyDescent="0.35">
      <c r="A50" s="249" t="s">
        <v>209</v>
      </c>
      <c r="B50" s="88"/>
      <c r="C50" s="88"/>
      <c r="D50" s="221" t="s">
        <v>343</v>
      </c>
      <c r="E50" s="339" t="s">
        <v>78</v>
      </c>
      <c r="F50" s="345">
        <v>1</v>
      </c>
      <c r="G50" s="346">
        <v>0.8</v>
      </c>
      <c r="H50" s="198"/>
      <c r="I50" s="199"/>
      <c r="J50" s="199"/>
      <c r="K50" s="200"/>
      <c r="L50" s="115"/>
      <c r="M50" s="116"/>
      <c r="N50" s="117"/>
      <c r="O50" s="198"/>
      <c r="P50" s="199"/>
      <c r="Q50" s="199"/>
      <c r="R50" s="200">
        <v>10</v>
      </c>
      <c r="S50" s="88"/>
      <c r="T50" s="88"/>
      <c r="U50" s="88"/>
      <c r="V50" s="90"/>
      <c r="W50" s="90"/>
      <c r="X50" s="90"/>
      <c r="Y50" s="90"/>
      <c r="Z50" s="90"/>
      <c r="AA50" s="90"/>
      <c r="AB50" s="90"/>
      <c r="AC50" s="90"/>
      <c r="AD50" s="90"/>
      <c r="AE50" s="90"/>
      <c r="AF50" s="90"/>
      <c r="AG50" s="90"/>
      <c r="AH50" s="90"/>
      <c r="AI50" s="90"/>
      <c r="AJ50" s="90"/>
      <c r="AK50" s="90"/>
      <c r="AL50" s="90"/>
      <c r="AM50" s="90"/>
      <c r="AN50" s="90"/>
      <c r="AO50" s="90"/>
      <c r="AP50" s="88"/>
      <c r="AQ50" s="472"/>
      <c r="AR50" s="472"/>
      <c r="AS50" s="475">
        <v>26</v>
      </c>
      <c r="AT50" s="478" t="s">
        <v>139</v>
      </c>
      <c r="AU50" s="478"/>
      <c r="AV50" s="483" t="s">
        <v>261</v>
      </c>
      <c r="AW50" s="478">
        <f>'Board Power'!B20</f>
        <v>2500</v>
      </c>
      <c r="AX50" s="478">
        <f>'Board Power'!G20</f>
        <v>2250</v>
      </c>
      <c r="AY50" s="478">
        <f>'Board Power'!I20</f>
        <v>2000</v>
      </c>
      <c r="AZ50" s="491">
        <f>'Board Power'!J20</f>
        <v>1750</v>
      </c>
      <c r="BA50" s="473"/>
      <c r="BB50" s="473"/>
      <c r="BC50" s="17"/>
      <c r="BD50" s="17"/>
      <c r="BE50" s="17"/>
      <c r="BF50" s="17"/>
      <c r="BG50" s="17"/>
    </row>
    <row r="51" spans="1:59" ht="18" customHeight="1" x14ac:dyDescent="0.35">
      <c r="A51" s="249" t="s">
        <v>224</v>
      </c>
      <c r="B51" s="88"/>
      <c r="C51" s="88"/>
      <c r="D51" s="221" t="s">
        <v>344</v>
      </c>
      <c r="E51" s="339" t="s">
        <v>80</v>
      </c>
      <c r="F51" s="347">
        <v>1</v>
      </c>
      <c r="G51" s="348">
        <v>0.8</v>
      </c>
      <c r="H51" s="198"/>
      <c r="I51" s="199"/>
      <c r="J51" s="199"/>
      <c r="K51" s="200"/>
      <c r="L51" s="115"/>
      <c r="M51" s="116"/>
      <c r="N51" s="117"/>
      <c r="O51" s="198"/>
      <c r="P51" s="199"/>
      <c r="Q51" s="199"/>
      <c r="R51" s="200">
        <v>2</v>
      </c>
      <c r="S51" s="88"/>
      <c r="T51" s="88"/>
      <c r="U51" s="88"/>
      <c r="V51" s="90"/>
      <c r="W51" s="90"/>
      <c r="X51" s="90"/>
      <c r="Y51" s="90"/>
      <c r="Z51" s="90"/>
      <c r="AA51" s="90"/>
      <c r="AB51" s="90"/>
      <c r="AC51" s="90"/>
      <c r="AD51" s="90"/>
      <c r="AE51" s="90"/>
      <c r="AF51" s="90"/>
      <c r="AG51" s="90"/>
      <c r="AH51" s="90"/>
      <c r="AI51" s="90"/>
      <c r="AJ51" s="90"/>
      <c r="AK51" s="90"/>
      <c r="AL51" s="90"/>
      <c r="AM51" s="90"/>
      <c r="AN51" s="90"/>
      <c r="AO51" s="90"/>
      <c r="AP51" s="88"/>
      <c r="AQ51" s="472"/>
      <c r="AR51" s="472"/>
      <c r="AS51" s="475"/>
      <c r="AT51" s="478"/>
      <c r="AU51" s="485" t="s">
        <v>16</v>
      </c>
      <c r="AV51" s="486" t="s">
        <v>16</v>
      </c>
      <c r="AW51" s="480">
        <v>0</v>
      </c>
      <c r="AX51" s="485">
        <v>0</v>
      </c>
      <c r="AY51" s="478">
        <v>0</v>
      </c>
      <c r="AZ51" s="491">
        <v>0</v>
      </c>
      <c r="BA51" s="473"/>
      <c r="BB51" s="473"/>
      <c r="BC51" s="17"/>
      <c r="BD51" s="17"/>
      <c r="BE51" s="17"/>
      <c r="BF51" s="17"/>
      <c r="BG51" s="17"/>
    </row>
    <row r="52" spans="1:59" ht="18" customHeight="1" x14ac:dyDescent="0.35">
      <c r="A52" s="249" t="s">
        <v>217</v>
      </c>
      <c r="B52" s="88"/>
      <c r="C52" s="88"/>
      <c r="D52" s="221" t="s">
        <v>345</v>
      </c>
      <c r="E52" s="339" t="s">
        <v>81</v>
      </c>
      <c r="F52" s="345">
        <v>1.5</v>
      </c>
      <c r="G52" s="346">
        <v>1.2</v>
      </c>
      <c r="H52" s="198"/>
      <c r="I52" s="199"/>
      <c r="J52" s="199"/>
      <c r="K52" s="200"/>
      <c r="L52" s="115"/>
      <c r="M52" s="116"/>
      <c r="N52" s="117"/>
      <c r="O52" s="198"/>
      <c r="P52" s="199"/>
      <c r="Q52" s="199"/>
      <c r="R52" s="200"/>
      <c r="S52" s="88"/>
      <c r="T52" s="88"/>
      <c r="U52" s="88"/>
      <c r="V52" s="90"/>
      <c r="W52" s="90"/>
      <c r="X52" s="90"/>
      <c r="Y52" s="90"/>
      <c r="Z52" s="90"/>
      <c r="AA52" s="90"/>
      <c r="AB52" s="90"/>
      <c r="AC52" s="90"/>
      <c r="AD52" s="90"/>
      <c r="AE52" s="90"/>
      <c r="AF52" s="90"/>
      <c r="AG52" s="90"/>
      <c r="AH52" s="90"/>
      <c r="AI52" s="90"/>
      <c r="AJ52" s="90"/>
      <c r="AK52" s="90"/>
      <c r="AL52" s="90"/>
      <c r="AM52" s="90"/>
      <c r="AN52" s="90"/>
      <c r="AO52" s="90"/>
      <c r="AP52" s="88"/>
      <c r="AQ52" s="472"/>
      <c r="AR52" s="472"/>
      <c r="AS52" s="475">
        <v>27</v>
      </c>
      <c r="AT52" s="478"/>
      <c r="AU52" s="478"/>
      <c r="AV52" s="478"/>
      <c r="AW52" s="478"/>
      <c r="AX52" s="478"/>
      <c r="AY52" s="478"/>
      <c r="AZ52" s="490"/>
      <c r="BA52" s="473"/>
      <c r="BB52" s="473"/>
      <c r="BC52" s="17"/>
      <c r="BD52" s="17"/>
      <c r="BE52" s="17"/>
      <c r="BF52" s="17"/>
      <c r="BG52" s="17"/>
    </row>
    <row r="53" spans="1:59" ht="18" customHeight="1" x14ac:dyDescent="0.35">
      <c r="A53" s="249" t="s">
        <v>223</v>
      </c>
      <c r="B53" s="88"/>
      <c r="C53" s="88"/>
      <c r="D53" s="221" t="s">
        <v>346</v>
      </c>
      <c r="E53" s="339" t="s">
        <v>83</v>
      </c>
      <c r="F53" s="345">
        <v>1.6</v>
      </c>
      <c r="G53" s="346">
        <v>1.2</v>
      </c>
      <c r="H53" s="198"/>
      <c r="I53" s="199"/>
      <c r="J53" s="199"/>
      <c r="K53" s="200"/>
      <c r="L53" s="115"/>
      <c r="M53" s="116"/>
      <c r="N53" s="117"/>
      <c r="O53" s="198"/>
      <c r="P53" s="199"/>
      <c r="Q53" s="199"/>
      <c r="R53" s="200"/>
      <c r="S53" s="88"/>
      <c r="T53" s="88"/>
      <c r="U53" s="88"/>
      <c r="V53" s="90"/>
      <c r="W53" s="90"/>
      <c r="X53" s="90"/>
      <c r="Y53" s="90"/>
      <c r="Z53" s="90"/>
      <c r="AA53" s="90"/>
      <c r="AB53" s="90"/>
      <c r="AC53" s="90"/>
      <c r="AD53" s="90"/>
      <c r="AE53" s="90"/>
      <c r="AF53" s="90"/>
      <c r="AG53" s="90"/>
      <c r="AH53" s="90"/>
      <c r="AI53" s="90"/>
      <c r="AJ53" s="90"/>
      <c r="AK53" s="90"/>
      <c r="AL53" s="90"/>
      <c r="AM53" s="90"/>
      <c r="AN53" s="90"/>
      <c r="AO53" s="90"/>
      <c r="AP53" s="88"/>
      <c r="AQ53" s="472"/>
      <c r="AR53" s="472"/>
      <c r="AS53" s="475">
        <v>28</v>
      </c>
      <c r="AT53" s="493"/>
      <c r="AU53" s="493"/>
      <c r="AV53" s="494" t="s">
        <v>191</v>
      </c>
      <c r="AW53" s="495">
        <f>IF(H$8=$AT$47,$AW$47,IF(H$8=$AT$48,$AW$48,IF(H$8=$AT$49,$AW$49,IF(H$8=$AT$50,$AW$50,IF(H$8=$AT$51,$AW$51,$AW$51)))))</f>
        <v>1400</v>
      </c>
      <c r="AX53" s="495">
        <f>IF(J$8=$AT$47,$AW$47,IF(J$8=$AT$48,$AW$48,IF(J$8=$AT$49,$AW$49,IF(J$8=$AT$50,$AW$50,IF(J$8=$AT$51,$AW$51,$AW$51)))))</f>
        <v>1400</v>
      </c>
      <c r="AY53" s="495">
        <f>IF(L$8=$AT$47,$AW$47,IF(L$8=$AT$48,$AW$48,IF(L$8=$AT$49,$AW$49,IF(L$8=$AT$50,$AW$50,IF(L$8=$AT$51,$AW$51,$AW$51)))))</f>
        <v>0</v>
      </c>
      <c r="AZ53" s="495">
        <f>IF(N$8=$AT$47,$AW$47,IF(N$8=$AT$48,$AW$48,IF(N$8=$AT$49,$AW$49,IF(N$8=$AT$50,$AW$50,IF(N$8=$AT$51,$AW$51,$AW$51)))))</f>
        <v>0</v>
      </c>
      <c r="BA53" s="473"/>
      <c r="BB53" s="473"/>
      <c r="BC53" s="17"/>
      <c r="BD53" s="17"/>
      <c r="BE53" s="17"/>
      <c r="BF53" s="17"/>
      <c r="BG53" s="17"/>
    </row>
    <row r="54" spans="1:59" ht="18" customHeight="1" x14ac:dyDescent="0.35">
      <c r="A54" s="88"/>
      <c r="B54" s="88"/>
      <c r="C54" s="88"/>
      <c r="D54" s="221" t="s">
        <v>86</v>
      </c>
      <c r="E54" s="340" t="s">
        <v>87</v>
      </c>
      <c r="F54" s="345">
        <v>1.8</v>
      </c>
      <c r="G54" s="346">
        <v>1.35</v>
      </c>
      <c r="H54" s="198"/>
      <c r="I54" s="199"/>
      <c r="J54" s="199"/>
      <c r="K54" s="200"/>
      <c r="L54" s="115"/>
      <c r="M54" s="116"/>
      <c r="N54" s="117"/>
      <c r="O54" s="198"/>
      <c r="P54" s="199"/>
      <c r="Q54" s="199"/>
      <c r="R54" s="200"/>
      <c r="S54" s="88"/>
      <c r="T54" s="88"/>
      <c r="U54" s="88"/>
      <c r="V54" s="90"/>
      <c r="W54" s="90"/>
      <c r="X54" s="90"/>
      <c r="Y54" s="90"/>
      <c r="Z54" s="90"/>
      <c r="AA54" s="90"/>
      <c r="AB54" s="90"/>
      <c r="AC54" s="90"/>
      <c r="AD54" s="90"/>
      <c r="AE54" s="90"/>
      <c r="AF54" s="90"/>
      <c r="AG54" s="90"/>
      <c r="AH54" s="90"/>
      <c r="AI54" s="90"/>
      <c r="AJ54" s="90"/>
      <c r="AK54" s="90"/>
      <c r="AL54" s="90"/>
      <c r="AM54" s="90"/>
      <c r="AN54" s="90"/>
      <c r="AO54" s="90"/>
      <c r="AP54" s="88"/>
      <c r="AQ54" s="472"/>
      <c r="AR54" s="472"/>
      <c r="AS54" s="472"/>
      <c r="AT54" s="472"/>
      <c r="AU54" s="472"/>
      <c r="AV54" s="496" t="s">
        <v>188</v>
      </c>
      <c r="AW54" s="495">
        <f>IF(H$8=$AT$47,$AX$47,IF(H$8=$AT$48,$AX$48,IF(H$8=$AT$49,$AX$49,IF(H$8=$AT$50,$AX$50,IF(H$8=$AT$51,$AX$51,$AX$51)))))</f>
        <v>1260</v>
      </c>
      <c r="AX54" s="495">
        <f>IF(J$8=$AT$47,$AX$47,IF(J$8=$AT$48,$AX$48,IF(J$8=$AT$49,$AX$49,IF(J$8=$AT$50,$AX$50,IF(J$8=$AT$51,$AX$51,$AX$51)))))</f>
        <v>1260</v>
      </c>
      <c r="AY54" s="495">
        <f>IF(L$8=$AT$47,$AX$47,IF(L$8=$AT$48,$AX$48,IF(L$8=$AT$49,$AX$49,IF(L$8=$AT$50,$AX$50,IF(L$8=$AT$51,$AX$51,$AX$51)))))</f>
        <v>0</v>
      </c>
      <c r="AZ54" s="495">
        <f>IF(N$8=$AT$47,$AX$47,IF(N$8=$AT$48,$AX$48,IF(N$8=$AT$49,$AX$49,IF(N$8=$AT$50,$AX$50,IF(N$8=$AT$51,$AX$51,$AX$51)))))</f>
        <v>0</v>
      </c>
      <c r="BA54" s="473"/>
      <c r="BB54" s="473"/>
      <c r="BC54" s="17"/>
      <c r="BD54" s="17"/>
      <c r="BE54" s="17"/>
      <c r="BF54" s="17"/>
      <c r="BG54" s="17"/>
    </row>
    <row r="55" spans="1:59" ht="18" customHeight="1" x14ac:dyDescent="0.35">
      <c r="A55" s="88"/>
      <c r="B55" s="88"/>
      <c r="C55" s="88"/>
      <c r="D55" s="221" t="s">
        <v>89</v>
      </c>
      <c r="E55" s="340" t="s">
        <v>90</v>
      </c>
      <c r="F55" s="345">
        <v>1.8</v>
      </c>
      <c r="G55" s="346">
        <v>1.5</v>
      </c>
      <c r="H55" s="198"/>
      <c r="I55" s="199"/>
      <c r="J55" s="199"/>
      <c r="K55" s="200"/>
      <c r="L55" s="115"/>
      <c r="M55" s="116"/>
      <c r="N55" s="117"/>
      <c r="O55" s="198"/>
      <c r="P55" s="199"/>
      <c r="Q55" s="199"/>
      <c r="R55" s="200"/>
      <c r="S55" s="88"/>
      <c r="T55" s="88"/>
      <c r="U55" s="88"/>
      <c r="V55" s="90"/>
      <c r="W55" s="90"/>
      <c r="X55" s="90"/>
      <c r="Y55" s="90"/>
      <c r="Z55" s="90"/>
      <c r="AA55" s="90"/>
      <c r="AB55" s="90"/>
      <c r="AC55" s="90"/>
      <c r="AD55" s="90"/>
      <c r="AE55" s="90"/>
      <c r="AF55" s="90"/>
      <c r="AG55" s="90"/>
      <c r="AH55" s="90"/>
      <c r="AI55" s="90"/>
      <c r="AJ55" s="90"/>
      <c r="AK55" s="90"/>
      <c r="AL55" s="90"/>
      <c r="AM55" s="90"/>
      <c r="AN55" s="90"/>
      <c r="AO55" s="90"/>
      <c r="AP55" s="88"/>
      <c r="AQ55" s="472"/>
      <c r="AR55" s="472"/>
      <c r="AS55" s="472"/>
      <c r="AT55" s="472"/>
      <c r="AU55" s="472"/>
      <c r="AV55" s="496" t="s">
        <v>189</v>
      </c>
      <c r="AW55" s="495">
        <f>IF(H$8=$AT$47,$AY$47,IF(H$8=$AT$48,$AY$48,IF(H$8=$AT$49,$AY$49,IF(H$8=$AT$50,$AY$50,IF(H$8=$AT$51,$AY$51,$AY$51)))))</f>
        <v>1120</v>
      </c>
      <c r="AX55" s="495">
        <f>IF(J$8=$AT$47,$AY$47,IF(J$8=$AT$48,$AY$48,IF(J$8=$AT$49,$AY$49,IF(J$8=$AT$50,$AY$50,IF(J$8=$AT$51,$AY$51,$AY$51)))))</f>
        <v>1120</v>
      </c>
      <c r="AY55" s="495">
        <f>IF(L$8=$AT$47,$AY$47,IF(L$8=$AT$48,$AY$48,IF(L$8=$AT$49,$AY$49,IF(L$8=$AT$50,$AY$50,IF(L$8=$AT$51,$AY$51,$AY$51)))))</f>
        <v>0</v>
      </c>
      <c r="AZ55" s="495">
        <f>IF(N$8=$AT$47,$AY$47,IF(N$8=$AT$48,$AY$48,IF(N$8=$AT$49,$AY$49,IF(N$8=$AT$50,$AY$50,IF(N$8=$AT$51,$AY$51,$AY$51)))))</f>
        <v>0</v>
      </c>
      <c r="BA55" s="473"/>
      <c r="BB55" s="473"/>
      <c r="BC55" s="17"/>
      <c r="BD55" s="17"/>
      <c r="BE55" s="17"/>
      <c r="BF55" s="17"/>
      <c r="BG55" s="17"/>
    </row>
    <row r="56" spans="1:59" ht="18" customHeight="1" x14ac:dyDescent="0.35">
      <c r="A56" s="88"/>
      <c r="B56" s="88"/>
      <c r="C56" s="88"/>
      <c r="D56" s="221" t="s">
        <v>91</v>
      </c>
      <c r="E56" s="340" t="s">
        <v>92</v>
      </c>
      <c r="F56" s="345">
        <v>1</v>
      </c>
      <c r="G56" s="346">
        <v>0.75</v>
      </c>
      <c r="H56" s="198"/>
      <c r="I56" s="199"/>
      <c r="J56" s="199"/>
      <c r="K56" s="200"/>
      <c r="L56" s="115"/>
      <c r="M56" s="116"/>
      <c r="N56" s="117"/>
      <c r="O56" s="198"/>
      <c r="P56" s="199"/>
      <c r="Q56" s="199"/>
      <c r="R56" s="200"/>
      <c r="S56" s="88"/>
      <c r="T56" s="88"/>
      <c r="U56" s="88"/>
      <c r="V56" s="90"/>
      <c r="W56" s="90"/>
      <c r="X56" s="90"/>
      <c r="Y56" s="90"/>
      <c r="Z56" s="90"/>
      <c r="AA56" s="90"/>
      <c r="AB56" s="90"/>
      <c r="AC56" s="90"/>
      <c r="AD56" s="90"/>
      <c r="AE56" s="90"/>
      <c r="AF56" s="90"/>
      <c r="AG56" s="90"/>
      <c r="AH56" s="90"/>
      <c r="AI56" s="90"/>
      <c r="AJ56" s="90"/>
      <c r="AK56" s="90"/>
      <c r="AL56" s="90"/>
      <c r="AM56" s="90"/>
      <c r="AN56" s="90"/>
      <c r="AO56" s="90"/>
      <c r="AP56" s="88"/>
      <c r="AQ56" s="472"/>
      <c r="AR56" s="472"/>
      <c r="AS56" s="472"/>
      <c r="AT56" s="472"/>
      <c r="AU56" s="472"/>
      <c r="AV56" s="496" t="s">
        <v>190</v>
      </c>
      <c r="AW56" s="495">
        <f>IF(H$8=$AT$47,$AZ$47,IF(H$8=$AT$48,$AZ$48,IF(H$8=$AT$49,$AZ$49,IF(H$8=$AT$50,$AZ$50,IF(H$8=$AT$51,$AZ$51,$AZ$51)))))</f>
        <v>980</v>
      </c>
      <c r="AX56" s="495">
        <f>IF(J$8=$AT$47,$AZ$47,IF(J$8=$AT$48,$AZ$48,IF(J$8=$AT$49,$AZ$49,IF(J$8=$AT$50,$AZ$50,IF(J$8=$AT$51,$AZ$51,$AZ$51)))))</f>
        <v>980</v>
      </c>
      <c r="AY56" s="495">
        <f>IF(L$8=$AT$47,$AZ$47,IF(L$8=$AT$48,$AZ$48,IF(L$8=$AT$49,$AZ$49,IF(L$8=$AT$50,$AZ$50,IF(L$8=$AT$51,$AZ$51,$AZ$51)))))</f>
        <v>0</v>
      </c>
      <c r="AZ56" s="495">
        <f>IF(N$8=$AT$47,$AZ$47,IF(N$8=$AT$48,$AZ$48,IF(N$8=$AT$49,$AZ$49,IF(N$8=$AT$50,$AZ$50,IF(N$8=$AT$51,$AZ$51,$AZ$51)))))</f>
        <v>0</v>
      </c>
      <c r="BA56" s="473"/>
      <c r="BB56" s="473"/>
      <c r="BC56" s="17"/>
      <c r="BD56" s="17"/>
      <c r="BE56" s="17"/>
      <c r="BF56" s="17"/>
      <c r="BG56" s="17"/>
    </row>
    <row r="57" spans="1:59" ht="18" customHeight="1" x14ac:dyDescent="0.35">
      <c r="A57" s="88"/>
      <c r="B57" s="88"/>
      <c r="C57" s="88"/>
      <c r="D57" s="221" t="s">
        <v>94</v>
      </c>
      <c r="E57" s="340" t="s">
        <v>92</v>
      </c>
      <c r="F57" s="345">
        <v>1</v>
      </c>
      <c r="G57" s="346">
        <v>0.75</v>
      </c>
      <c r="H57" s="198"/>
      <c r="I57" s="199"/>
      <c r="J57" s="199"/>
      <c r="K57" s="200"/>
      <c r="L57" s="115"/>
      <c r="M57" s="116"/>
      <c r="N57" s="116"/>
      <c r="O57" s="199"/>
      <c r="P57" s="199"/>
      <c r="Q57" s="199"/>
      <c r="R57" s="200"/>
      <c r="S57" s="88"/>
      <c r="T57" s="88"/>
      <c r="U57" s="88"/>
      <c r="V57" s="90"/>
      <c r="W57" s="90"/>
      <c r="X57" s="90"/>
      <c r="Y57" s="90"/>
      <c r="Z57" s="90"/>
      <c r="AA57" s="90"/>
      <c r="AB57" s="90"/>
      <c r="AC57" s="90"/>
      <c r="AD57" s="90"/>
      <c r="AE57" s="90"/>
      <c r="AF57" s="90"/>
      <c r="AG57" s="90"/>
      <c r="AH57" s="90"/>
      <c r="AI57" s="90"/>
      <c r="AJ57" s="90"/>
      <c r="AK57" s="90"/>
      <c r="AL57" s="90"/>
      <c r="AM57" s="90"/>
      <c r="AN57" s="90"/>
      <c r="AO57" s="90"/>
      <c r="AP57" s="88"/>
      <c r="AQ57" s="472"/>
      <c r="AR57" s="472"/>
      <c r="AS57" s="472"/>
      <c r="AT57" s="472"/>
      <c r="AU57" s="472"/>
      <c r="AV57" s="472"/>
      <c r="AW57" s="472"/>
      <c r="AX57" s="472"/>
      <c r="AY57" s="472"/>
      <c r="AZ57" s="472"/>
      <c r="BA57" s="473"/>
      <c r="BB57" s="473"/>
      <c r="BC57" s="17"/>
      <c r="BD57" s="17"/>
      <c r="BE57" s="17"/>
      <c r="BF57" s="17"/>
      <c r="BG57" s="17"/>
    </row>
    <row r="58" spans="1:59" ht="18" customHeight="1" thickBot="1" x14ac:dyDescent="0.4">
      <c r="A58" s="88"/>
      <c r="B58" s="88"/>
      <c r="C58" s="88"/>
      <c r="D58" s="236" t="s">
        <v>263</v>
      </c>
      <c r="E58" s="351" t="s">
        <v>264</v>
      </c>
      <c r="F58" s="284">
        <v>2.5</v>
      </c>
      <c r="G58" s="350">
        <v>2.2999999999999998</v>
      </c>
      <c r="H58" s="201"/>
      <c r="I58" s="202"/>
      <c r="J58" s="202"/>
      <c r="K58" s="203"/>
      <c r="L58" s="118"/>
      <c r="M58" s="119"/>
      <c r="N58" s="119"/>
      <c r="O58" s="202"/>
      <c r="P58" s="202"/>
      <c r="Q58" s="202"/>
      <c r="R58" s="203"/>
      <c r="S58" s="88"/>
      <c r="T58" s="88"/>
      <c r="U58" s="88"/>
      <c r="V58" s="90"/>
      <c r="W58" s="90"/>
      <c r="X58" s="90"/>
      <c r="Y58" s="90"/>
      <c r="Z58" s="90"/>
      <c r="AA58" s="90"/>
      <c r="AB58" s="90"/>
      <c r="AC58" s="90"/>
      <c r="AD58" s="90"/>
      <c r="AE58" s="90"/>
      <c r="AF58" s="90"/>
      <c r="AG58" s="90"/>
      <c r="AH58" s="90"/>
      <c r="AI58" s="90"/>
      <c r="AJ58" s="90"/>
      <c r="AK58" s="90"/>
      <c r="AL58" s="90"/>
      <c r="AM58" s="90"/>
      <c r="AN58" s="90"/>
      <c r="AO58" s="90"/>
      <c r="AP58" s="88"/>
      <c r="AQ58" s="252"/>
      <c r="AR58" s="252"/>
      <c r="AS58" s="252"/>
      <c r="AT58" s="252"/>
      <c r="AU58" s="252"/>
      <c r="AV58" s="252"/>
      <c r="AW58" s="252"/>
      <c r="AX58" s="252"/>
      <c r="AY58" s="252"/>
      <c r="AZ58" s="252"/>
      <c r="BA58" s="253"/>
      <c r="BB58" s="253"/>
      <c r="BC58" s="17"/>
      <c r="BD58" s="17"/>
      <c r="BE58" s="17"/>
      <c r="BF58" s="17"/>
      <c r="BG58" s="17"/>
    </row>
    <row r="59" spans="1:59" ht="18" customHeight="1" x14ac:dyDescent="0.35">
      <c r="A59" s="88"/>
      <c r="B59" s="88"/>
      <c r="C59" s="88"/>
      <c r="D59" s="218"/>
      <c r="E59" s="341" t="s">
        <v>21</v>
      </c>
      <c r="F59" s="282">
        <v>0.01</v>
      </c>
      <c r="G59" s="349">
        <v>3.0000000000000001E-3</v>
      </c>
      <c r="H59" s="332"/>
      <c r="I59" s="333"/>
      <c r="J59" s="333"/>
      <c r="K59" s="334"/>
      <c r="L59" s="335"/>
      <c r="M59" s="336"/>
      <c r="N59" s="337"/>
      <c r="O59" s="332"/>
      <c r="P59" s="333"/>
      <c r="Q59" s="333"/>
      <c r="R59" s="334"/>
      <c r="S59" s="88"/>
      <c r="T59" s="88"/>
      <c r="U59" s="88"/>
      <c r="V59" s="90"/>
      <c r="W59" s="90"/>
      <c r="X59" s="90"/>
      <c r="Y59" s="90"/>
      <c r="Z59" s="90"/>
      <c r="AA59" s="90"/>
      <c r="AB59" s="90"/>
      <c r="AC59" s="90"/>
      <c r="AD59" s="90"/>
      <c r="AE59" s="90"/>
      <c r="AF59" s="90"/>
      <c r="AG59" s="90"/>
      <c r="AH59" s="90"/>
      <c r="AI59" s="90"/>
      <c r="AJ59" s="90"/>
      <c r="AK59" s="90"/>
      <c r="AL59" s="90"/>
      <c r="AM59" s="90"/>
      <c r="AN59" s="90"/>
      <c r="AO59" s="90"/>
      <c r="AP59" s="88"/>
      <c r="AQ59" s="252"/>
      <c r="AR59" s="252"/>
      <c r="AS59" s="252"/>
      <c r="AT59" s="252"/>
      <c r="AU59" s="252"/>
      <c r="AV59" s="252"/>
      <c r="AW59" s="252"/>
      <c r="AX59" s="252"/>
      <c r="AY59" s="252"/>
      <c r="AZ59" s="252"/>
      <c r="BA59" s="253"/>
      <c r="BB59" s="253"/>
      <c r="BC59" s="17"/>
      <c r="BD59" s="17"/>
      <c r="BE59" s="17"/>
      <c r="BF59" s="17"/>
      <c r="BG59" s="17"/>
    </row>
    <row r="60" spans="1:59" ht="18" customHeight="1" thickBot="1" x14ac:dyDescent="0.4">
      <c r="A60" s="88"/>
      <c r="B60" s="88"/>
      <c r="C60" s="88"/>
      <c r="D60" s="217"/>
      <c r="E60" s="342" t="s">
        <v>134</v>
      </c>
      <c r="F60" s="284">
        <v>1</v>
      </c>
      <c r="G60" s="350">
        <v>0.34</v>
      </c>
      <c r="H60" s="204"/>
      <c r="I60" s="205"/>
      <c r="J60" s="205"/>
      <c r="K60" s="206"/>
      <c r="L60" s="118"/>
      <c r="M60" s="119"/>
      <c r="N60" s="120"/>
      <c r="O60" s="204"/>
      <c r="P60" s="205"/>
      <c r="Q60" s="205"/>
      <c r="R60" s="206"/>
      <c r="S60" s="88"/>
      <c r="T60" s="88"/>
      <c r="U60" s="88"/>
      <c r="V60" s="90"/>
      <c r="W60" s="90"/>
      <c r="X60" s="90"/>
      <c r="Y60" s="90"/>
      <c r="Z60" s="90"/>
      <c r="AA60" s="90"/>
      <c r="AB60" s="90"/>
      <c r="AC60" s="90"/>
      <c r="AD60" s="90"/>
      <c r="AE60" s="90"/>
      <c r="AF60" s="90"/>
      <c r="AG60" s="90"/>
      <c r="AH60" s="90"/>
      <c r="AI60" s="90"/>
      <c r="AJ60" s="90"/>
      <c r="AK60" s="90"/>
      <c r="AL60" s="90"/>
      <c r="AM60" s="90"/>
      <c r="AN60" s="90"/>
      <c r="AO60" s="90"/>
      <c r="AP60" s="90"/>
      <c r="AQ60" s="252"/>
      <c r="AR60" s="252"/>
      <c r="AS60" s="252"/>
      <c r="AT60" s="252"/>
      <c r="AU60" s="252"/>
      <c r="AV60" s="252"/>
      <c r="AW60" s="252"/>
      <c r="AX60" s="252"/>
      <c r="AY60" s="252"/>
      <c r="AZ60" s="252"/>
      <c r="BA60" s="253"/>
      <c r="BB60" s="253"/>
    </row>
    <row r="61" spans="1:59" ht="31.5" customHeight="1" thickBot="1" x14ac:dyDescent="0.4">
      <c r="A61" s="88"/>
      <c r="B61" s="88"/>
      <c r="C61" s="88"/>
      <c r="D61" s="111"/>
      <c r="E61" s="240" t="s">
        <v>150</v>
      </c>
      <c r="F61" s="98"/>
      <c r="G61" s="99"/>
      <c r="H61" s="362">
        <f>+H49*$F49+H50*$F50+H51*$F51+H52*$F52+H53*$F53+H54*$F54+H55*$F55+H56*$F56+H57*$F57+H58*$F58+H60*$F60</f>
        <v>0</v>
      </c>
      <c r="I61" s="389">
        <f>+I49*$F49+I50*$F50+I51*$F51+I52*$F52+I53*$F53+I54*$F54+I55*$F55+I56*$F56+I57*$F57+I58*$F58+I60*$F60</f>
        <v>0</v>
      </c>
      <c r="J61" s="389">
        <f t="shared" ref="J61:K61" si="8">+J49*$F49+J50*$F50+J51*$F51+J52*$F52+J53*$F53+J54*$F54+J55*$F55+J56*$F56+J57*$F57+J58*$F58+J60*$F60</f>
        <v>0</v>
      </c>
      <c r="K61" s="390">
        <f t="shared" si="8"/>
        <v>0</v>
      </c>
      <c r="L61" s="363"/>
      <c r="M61" s="364"/>
      <c r="N61" s="365"/>
      <c r="O61" s="362">
        <f t="shared" ref="O61:R61" si="9">+O49*$F49+O50*$F50+O51*$F51+O52*$F52+O53*$F53+O54*$F54+O55*$F55+O56*$F56+O57*$F57+O58*$F58+O60*$F60</f>
        <v>0</v>
      </c>
      <c r="P61" s="389">
        <f t="shared" si="9"/>
        <v>0</v>
      </c>
      <c r="Q61" s="389">
        <f t="shared" si="9"/>
        <v>0</v>
      </c>
      <c r="R61" s="390">
        <f t="shared" si="9"/>
        <v>22.439999999999998</v>
      </c>
      <c r="S61" s="88"/>
      <c r="T61" s="88"/>
      <c r="U61" s="88"/>
      <c r="V61" s="90"/>
      <c r="W61" s="90"/>
      <c r="X61" s="90"/>
      <c r="Y61" s="90"/>
      <c r="Z61" s="90"/>
      <c r="AA61" s="90"/>
      <c r="AB61" s="90"/>
      <c r="AC61" s="90"/>
      <c r="AD61" s="90"/>
      <c r="AE61" s="90"/>
      <c r="AF61" s="90"/>
      <c r="AG61" s="90"/>
      <c r="AH61" s="90"/>
      <c r="AI61" s="90"/>
      <c r="AJ61" s="90"/>
      <c r="AK61" s="90"/>
      <c r="AL61" s="90"/>
      <c r="AM61" s="90"/>
      <c r="AN61" s="90"/>
      <c r="AO61" s="90"/>
      <c r="AP61" s="90"/>
      <c r="AQ61" s="252"/>
      <c r="AR61" s="252"/>
      <c r="AS61" s="252"/>
      <c r="AT61" s="252"/>
      <c r="AU61" s="252"/>
      <c r="AV61" s="252"/>
      <c r="AW61" s="252"/>
      <c r="AX61" s="252"/>
      <c r="AY61" s="252"/>
      <c r="AZ61" s="252"/>
      <c r="BA61" s="253"/>
      <c r="BB61" s="253"/>
    </row>
    <row r="62" spans="1:59" ht="30.75" customHeight="1" thickBot="1" x14ac:dyDescent="0.4">
      <c r="A62" s="88"/>
      <c r="B62" s="88"/>
      <c r="C62" s="88"/>
      <c r="D62" s="111"/>
      <c r="E62" s="240" t="s">
        <v>151</v>
      </c>
      <c r="F62" s="100"/>
      <c r="G62" s="101"/>
      <c r="H62" s="366">
        <f>+H49*$G49+H50*$G50+H51*$G51+H52*$G52+H53*$G53+H54*$G54+H55*$G55+H56*$G56+H57*$G57+H58*$G58+H60*$G60</f>
        <v>0</v>
      </c>
      <c r="I62" s="387">
        <f>+I49*$G49+I50*$G50+I51*$G51+I52*$G52+I53*$G53+I54*$G54+I55*$G55+I56*$G56+I57*$G57+I58*$G58+I60*$G60</f>
        <v>0</v>
      </c>
      <c r="J62" s="387">
        <f t="shared" ref="J62:K62" si="10">+J49*$G49+J50*$G50+J51*$G51+J52*$G52+J53*$G53+J54*$G54+J55*$G55+J56*$G56+J57*$G57+J58*$G58+J60*$G60</f>
        <v>0</v>
      </c>
      <c r="K62" s="388">
        <f t="shared" si="10"/>
        <v>0</v>
      </c>
      <c r="L62" s="367"/>
      <c r="M62" s="368"/>
      <c r="N62" s="369"/>
      <c r="O62" s="366">
        <f t="shared" ref="O62:R62" si="11">+O49*$G49+O50*$G50+O51*$G51+O52*$G52+O53*$G53+O54*$G54+O55*$G55+O56*$G56+O57*$G57+O58*$G58+O60*$G60</f>
        <v>0</v>
      </c>
      <c r="P62" s="387">
        <f t="shared" si="11"/>
        <v>0</v>
      </c>
      <c r="Q62" s="387">
        <f t="shared" si="11"/>
        <v>0</v>
      </c>
      <c r="R62" s="388">
        <f t="shared" si="11"/>
        <v>18</v>
      </c>
      <c r="S62" s="88"/>
      <c r="T62" s="88"/>
      <c r="U62" s="88"/>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row>
    <row r="63" spans="1:59" ht="21.75" thickBot="1" x14ac:dyDescent="0.4">
      <c r="A63" s="88"/>
      <c r="B63" s="88"/>
      <c r="C63" s="88"/>
      <c r="D63" s="97"/>
      <c r="E63" s="97"/>
      <c r="F63" s="97"/>
      <c r="G63" s="97"/>
      <c r="H63" s="108"/>
      <c r="I63" s="108"/>
      <c r="J63" s="108"/>
      <c r="K63" s="108"/>
      <c r="L63" s="108"/>
      <c r="M63" s="108"/>
      <c r="N63" s="108"/>
      <c r="O63" s="108"/>
      <c r="P63" s="108"/>
      <c r="Q63" s="108"/>
      <c r="R63" s="108"/>
      <c r="S63" s="88"/>
      <c r="T63" s="88"/>
      <c r="U63" s="88"/>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row>
    <row r="64" spans="1:59" x14ac:dyDescent="0.35">
      <c r="A64" s="88"/>
      <c r="B64" s="88"/>
      <c r="C64" s="88"/>
      <c r="D64" s="552" t="s">
        <v>230</v>
      </c>
      <c r="E64" s="553"/>
      <c r="F64" s="567" t="s">
        <v>201</v>
      </c>
      <c r="G64" s="568"/>
      <c r="H64" s="558" t="s">
        <v>200</v>
      </c>
      <c r="I64" s="559"/>
      <c r="J64" s="559"/>
      <c r="K64" s="559"/>
      <c r="L64" s="559"/>
      <c r="M64" s="559"/>
      <c r="N64" s="559"/>
      <c r="O64" s="559"/>
      <c r="P64" s="559"/>
      <c r="Q64" s="559"/>
      <c r="R64" s="560"/>
      <c r="S64" s="88"/>
      <c r="T64" s="88"/>
      <c r="U64" s="88"/>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row>
    <row r="65" spans="1:52" ht="24" thickBot="1" x14ac:dyDescent="0.4">
      <c r="A65" s="304" t="s">
        <v>213</v>
      </c>
      <c r="B65" s="88"/>
      <c r="C65" s="88"/>
      <c r="D65" s="554"/>
      <c r="E65" s="555"/>
      <c r="F65" s="285" t="s">
        <v>22</v>
      </c>
      <c r="G65" s="286" t="s">
        <v>23</v>
      </c>
      <c r="H65" s="561"/>
      <c r="I65" s="562"/>
      <c r="J65" s="562"/>
      <c r="K65" s="562"/>
      <c r="L65" s="562"/>
      <c r="M65" s="562"/>
      <c r="N65" s="562"/>
      <c r="O65" s="562"/>
      <c r="P65" s="562"/>
      <c r="Q65" s="562"/>
      <c r="R65" s="563"/>
      <c r="S65" s="88"/>
      <c r="T65" s="88"/>
      <c r="U65" s="88"/>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row>
    <row r="66" spans="1:52" ht="18" customHeight="1" x14ac:dyDescent="0.35">
      <c r="A66" s="251" t="s">
        <v>208</v>
      </c>
      <c r="B66" s="88"/>
      <c r="C66" s="88"/>
      <c r="D66" s="216"/>
      <c r="E66" s="226" t="s">
        <v>97</v>
      </c>
      <c r="F66" s="272">
        <v>1.2</v>
      </c>
      <c r="G66" s="273">
        <v>0.9</v>
      </c>
      <c r="H66" s="195"/>
      <c r="I66" s="196"/>
      <c r="J66" s="196"/>
      <c r="K66" s="197"/>
      <c r="L66" s="115"/>
      <c r="M66" s="116"/>
      <c r="N66" s="117"/>
      <c r="O66" s="210"/>
      <c r="P66" s="211"/>
      <c r="Q66" s="211"/>
      <c r="R66" s="212"/>
      <c r="S66" s="88"/>
      <c r="T66" s="88"/>
      <c r="U66" s="88"/>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row>
    <row r="67" spans="1:52" ht="18" customHeight="1" thickBot="1" x14ac:dyDescent="0.4">
      <c r="A67" s="249" t="s">
        <v>209</v>
      </c>
      <c r="B67" s="88"/>
      <c r="C67" s="88"/>
      <c r="D67" s="217"/>
      <c r="E67" s="227" t="s">
        <v>99</v>
      </c>
      <c r="F67" s="274">
        <v>1.3</v>
      </c>
      <c r="G67" s="275">
        <v>1.1000000000000001</v>
      </c>
      <c r="H67" s="201"/>
      <c r="I67" s="202"/>
      <c r="J67" s="202"/>
      <c r="K67" s="203"/>
      <c r="L67" s="124"/>
      <c r="M67" s="125"/>
      <c r="N67" s="126"/>
      <c r="O67" s="213"/>
      <c r="P67" s="214"/>
      <c r="Q67" s="214"/>
      <c r="R67" s="215"/>
      <c r="S67" s="88"/>
      <c r="T67" s="88"/>
      <c r="U67" s="88"/>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row>
    <row r="68" spans="1:52" ht="18" customHeight="1" x14ac:dyDescent="0.35">
      <c r="A68" s="249" t="s">
        <v>225</v>
      </c>
      <c r="B68" s="88"/>
      <c r="C68" s="88"/>
      <c r="D68" s="216"/>
      <c r="E68" s="225" t="s">
        <v>21</v>
      </c>
      <c r="F68" s="268">
        <v>0.01</v>
      </c>
      <c r="G68" s="269">
        <v>3.0000000000000001E-3</v>
      </c>
      <c r="H68" s="195"/>
      <c r="I68" s="196"/>
      <c r="J68" s="196"/>
      <c r="K68" s="197"/>
      <c r="L68" s="112"/>
      <c r="M68" s="113"/>
      <c r="N68" s="114"/>
      <c r="O68" s="210"/>
      <c r="P68" s="211"/>
      <c r="Q68" s="211"/>
      <c r="R68" s="212"/>
      <c r="S68" s="88"/>
      <c r="T68" s="88"/>
      <c r="U68" s="88"/>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row>
    <row r="69" spans="1:52" ht="18" customHeight="1" thickBot="1" x14ac:dyDescent="0.4">
      <c r="A69" s="249" t="s">
        <v>217</v>
      </c>
      <c r="B69" s="88"/>
      <c r="C69" s="88"/>
      <c r="D69" s="217"/>
      <c r="E69" s="219" t="s">
        <v>134</v>
      </c>
      <c r="F69" s="270">
        <v>1</v>
      </c>
      <c r="G69" s="271">
        <v>0.34</v>
      </c>
      <c r="H69" s="204"/>
      <c r="I69" s="205"/>
      <c r="J69" s="205"/>
      <c r="K69" s="206"/>
      <c r="L69" s="118"/>
      <c r="M69" s="119"/>
      <c r="N69" s="120"/>
      <c r="O69" s="213"/>
      <c r="P69" s="214"/>
      <c r="Q69" s="214"/>
      <c r="R69" s="215"/>
      <c r="S69" s="88"/>
      <c r="T69" s="88"/>
      <c r="U69" s="88"/>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row>
    <row r="70" spans="1:52" ht="30.75" customHeight="1" thickBot="1" x14ac:dyDescent="0.4">
      <c r="A70" s="251" t="s">
        <v>223</v>
      </c>
      <c r="B70" s="88"/>
      <c r="C70" s="88"/>
      <c r="D70" s="111"/>
      <c r="E70" s="240" t="s">
        <v>152</v>
      </c>
      <c r="F70" s="104"/>
      <c r="G70" s="391"/>
      <c r="H70" s="395">
        <f>H66*$F66+H67*$F67+H68*$F68+H69*$F69</f>
        <v>0</v>
      </c>
      <c r="I70" s="396">
        <f t="shared" ref="I70:K70" si="12">I66*$F66+I67*$F67+I68*$F68+I69*$F69</f>
        <v>0</v>
      </c>
      <c r="J70" s="396">
        <f t="shared" si="12"/>
        <v>0</v>
      </c>
      <c r="K70" s="397">
        <f t="shared" si="12"/>
        <v>0</v>
      </c>
      <c r="L70" s="130"/>
      <c r="M70" s="131"/>
      <c r="N70" s="132"/>
      <c r="O70" s="395">
        <f t="shared" ref="O70:R70" si="13">O66*$F66+O67*$F67+O68*$F68+O69*$F69</f>
        <v>0</v>
      </c>
      <c r="P70" s="396">
        <f t="shared" si="13"/>
        <v>0</v>
      </c>
      <c r="Q70" s="396">
        <f t="shared" si="13"/>
        <v>0</v>
      </c>
      <c r="R70" s="397">
        <f t="shared" si="13"/>
        <v>0</v>
      </c>
      <c r="S70" s="88"/>
      <c r="T70" s="88"/>
      <c r="U70" s="88"/>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row>
    <row r="71" spans="1:52" ht="30.75" customHeight="1" thickBot="1" x14ac:dyDescent="0.4">
      <c r="A71" s="88"/>
      <c r="B71" s="88"/>
      <c r="C71" s="88"/>
      <c r="D71" s="111"/>
      <c r="E71" s="240" t="s">
        <v>153</v>
      </c>
      <c r="F71" s="105"/>
      <c r="G71" s="394"/>
      <c r="H71" s="190">
        <f>H66*$G66+H67*$G67+H68*$G68+H69*$G69</f>
        <v>0</v>
      </c>
      <c r="I71" s="392">
        <f t="shared" ref="I71:K71" si="14">I66*$G66+I67*$G67+I68*$G68+I69*$G69</f>
        <v>0</v>
      </c>
      <c r="J71" s="392">
        <f t="shared" si="14"/>
        <v>0</v>
      </c>
      <c r="K71" s="393">
        <f t="shared" si="14"/>
        <v>0</v>
      </c>
      <c r="L71" s="121"/>
      <c r="M71" s="122"/>
      <c r="N71" s="123"/>
      <c r="O71" s="190">
        <f t="shared" ref="O71:R71" si="15">O66*$G66+O67*$G67+O68*$G68+O69*$G69</f>
        <v>0</v>
      </c>
      <c r="P71" s="392">
        <f t="shared" si="15"/>
        <v>0</v>
      </c>
      <c r="Q71" s="392">
        <f t="shared" si="15"/>
        <v>0</v>
      </c>
      <c r="R71" s="393">
        <f t="shared" si="15"/>
        <v>0</v>
      </c>
      <c r="S71" s="88"/>
      <c r="T71" s="88"/>
      <c r="U71" s="88"/>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row>
    <row r="72" spans="1:52" ht="21.75" thickBot="1" x14ac:dyDescent="0.4">
      <c r="A72" s="88"/>
      <c r="B72" s="88"/>
      <c r="C72" s="88"/>
      <c r="D72" s="97"/>
      <c r="E72" s="97"/>
      <c r="F72" s="97"/>
      <c r="G72" s="97"/>
      <c r="H72" s="108"/>
      <c r="I72" s="108"/>
      <c r="J72" s="108"/>
      <c r="K72" s="108"/>
      <c r="L72" s="108"/>
      <c r="M72" s="108"/>
      <c r="N72" s="108"/>
      <c r="O72" s="108"/>
      <c r="P72" s="108"/>
      <c r="Q72" s="108"/>
      <c r="R72" s="108"/>
      <c r="S72" s="88"/>
      <c r="T72" s="88"/>
      <c r="U72" s="88"/>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row>
    <row r="73" spans="1:52" x14ac:dyDescent="0.35">
      <c r="A73" s="88"/>
      <c r="B73" s="88"/>
      <c r="C73" s="88"/>
      <c r="D73" s="552" t="s">
        <v>229</v>
      </c>
      <c r="E73" s="553"/>
      <c r="F73" s="567" t="s">
        <v>201</v>
      </c>
      <c r="G73" s="568"/>
      <c r="H73" s="558" t="s">
        <v>200</v>
      </c>
      <c r="I73" s="559"/>
      <c r="J73" s="559"/>
      <c r="K73" s="559"/>
      <c r="L73" s="559"/>
      <c r="M73" s="559"/>
      <c r="N73" s="559"/>
      <c r="O73" s="559"/>
      <c r="P73" s="559"/>
      <c r="Q73" s="559"/>
      <c r="R73" s="560"/>
      <c r="S73" s="88"/>
      <c r="T73" s="88"/>
      <c r="U73" s="88"/>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row>
    <row r="74" spans="1:52" ht="24" thickBot="1" x14ac:dyDescent="0.4">
      <c r="A74" s="304" t="s">
        <v>214</v>
      </c>
      <c r="B74" s="88"/>
      <c r="C74" s="88"/>
      <c r="D74" s="554"/>
      <c r="E74" s="555"/>
      <c r="F74" s="285" t="s">
        <v>22</v>
      </c>
      <c r="G74" s="286" t="s">
        <v>23</v>
      </c>
      <c r="H74" s="561"/>
      <c r="I74" s="562"/>
      <c r="J74" s="562"/>
      <c r="K74" s="562"/>
      <c r="L74" s="562"/>
      <c r="M74" s="562"/>
      <c r="N74" s="562"/>
      <c r="O74" s="562"/>
      <c r="P74" s="562"/>
      <c r="Q74" s="562"/>
      <c r="R74" s="563"/>
      <c r="S74" s="88"/>
      <c r="T74" s="88"/>
      <c r="U74" s="88"/>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row>
    <row r="75" spans="1:52" ht="18" customHeight="1" x14ac:dyDescent="0.35">
      <c r="A75" s="251" t="s">
        <v>208</v>
      </c>
      <c r="B75" s="88"/>
      <c r="C75" s="88"/>
      <c r="D75" s="216" t="s">
        <v>100</v>
      </c>
      <c r="E75" s="220" t="s">
        <v>101</v>
      </c>
      <c r="F75" s="276">
        <v>1.2</v>
      </c>
      <c r="G75" s="276">
        <v>1</v>
      </c>
      <c r="H75" s="195"/>
      <c r="I75" s="196"/>
      <c r="J75" s="196">
        <v>4</v>
      </c>
      <c r="K75" s="197"/>
      <c r="L75" s="115"/>
      <c r="M75" s="116"/>
      <c r="N75" s="117"/>
      <c r="O75" s="195"/>
      <c r="P75" s="196">
        <v>4</v>
      </c>
      <c r="Q75" s="196"/>
      <c r="R75" s="197"/>
      <c r="S75" s="88"/>
      <c r="T75" s="88"/>
      <c r="U75" s="88"/>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row>
    <row r="76" spans="1:52" ht="18" customHeight="1" x14ac:dyDescent="0.35">
      <c r="A76" s="249" t="s">
        <v>209</v>
      </c>
      <c r="B76" s="88"/>
      <c r="C76" s="88"/>
      <c r="D76" s="221" t="s">
        <v>106</v>
      </c>
      <c r="E76" s="222" t="s">
        <v>107</v>
      </c>
      <c r="F76" s="277">
        <v>3.5</v>
      </c>
      <c r="G76" s="277">
        <v>2.5</v>
      </c>
      <c r="H76" s="198"/>
      <c r="I76" s="199"/>
      <c r="J76" s="199">
        <v>4</v>
      </c>
      <c r="K76" s="200"/>
      <c r="L76" s="115"/>
      <c r="M76" s="116"/>
      <c r="N76" s="117"/>
      <c r="O76" s="198"/>
      <c r="P76" s="199">
        <v>4</v>
      </c>
      <c r="Q76" s="199"/>
      <c r="R76" s="200"/>
      <c r="S76" s="88"/>
      <c r="T76" s="88"/>
      <c r="U76" s="88"/>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row>
    <row r="77" spans="1:52" ht="18" customHeight="1" x14ac:dyDescent="0.35">
      <c r="A77" s="249" t="s">
        <v>226</v>
      </c>
      <c r="B77" s="88"/>
      <c r="C77" s="88"/>
      <c r="D77" s="221" t="s">
        <v>109</v>
      </c>
      <c r="E77" s="222" t="s">
        <v>110</v>
      </c>
      <c r="F77" s="277">
        <v>3.5</v>
      </c>
      <c r="G77" s="277">
        <v>2.5</v>
      </c>
      <c r="H77" s="198"/>
      <c r="I77" s="199"/>
      <c r="J77" s="199"/>
      <c r="K77" s="200"/>
      <c r="L77" s="115"/>
      <c r="M77" s="116"/>
      <c r="N77" s="117"/>
      <c r="O77" s="198"/>
      <c r="P77" s="199"/>
      <c r="Q77" s="199"/>
      <c r="R77" s="200"/>
      <c r="S77" s="88"/>
      <c r="T77" s="88"/>
      <c r="U77" s="88"/>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row>
    <row r="78" spans="1:52" ht="18" customHeight="1" thickBot="1" x14ac:dyDescent="0.4">
      <c r="A78" s="249" t="s">
        <v>217</v>
      </c>
      <c r="B78" s="88"/>
      <c r="C78" s="88"/>
      <c r="D78" s="223" t="s">
        <v>112</v>
      </c>
      <c r="E78" s="224" t="s">
        <v>113</v>
      </c>
      <c r="F78" s="278">
        <v>3</v>
      </c>
      <c r="G78" s="278">
        <v>2.5</v>
      </c>
      <c r="H78" s="204"/>
      <c r="I78" s="205"/>
      <c r="J78" s="205"/>
      <c r="K78" s="206"/>
      <c r="L78" s="124"/>
      <c r="M78" s="125"/>
      <c r="N78" s="126"/>
      <c r="O78" s="204"/>
      <c r="P78" s="205"/>
      <c r="Q78" s="205"/>
      <c r="R78" s="206"/>
      <c r="S78" s="88"/>
      <c r="T78" s="88"/>
      <c r="U78" s="88"/>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row>
    <row r="79" spans="1:52" ht="18" customHeight="1" x14ac:dyDescent="0.35">
      <c r="A79" s="249" t="s">
        <v>223</v>
      </c>
      <c r="B79" s="88"/>
      <c r="C79" s="88"/>
      <c r="D79" s="216"/>
      <c r="E79" s="225" t="s">
        <v>21</v>
      </c>
      <c r="F79" s="268">
        <v>0.01</v>
      </c>
      <c r="G79" s="269">
        <v>3.0000000000000001E-3</v>
      </c>
      <c r="H79" s="195"/>
      <c r="I79" s="196"/>
      <c r="J79" s="196">
        <v>8</v>
      </c>
      <c r="K79" s="197"/>
      <c r="L79" s="112"/>
      <c r="M79" s="113"/>
      <c r="N79" s="114"/>
      <c r="O79" s="195"/>
      <c r="P79" s="196">
        <v>8</v>
      </c>
      <c r="Q79" s="196"/>
      <c r="R79" s="197"/>
      <c r="S79" s="88"/>
      <c r="T79" s="88"/>
      <c r="U79" s="88"/>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row>
    <row r="80" spans="1:52" ht="18" customHeight="1" thickBot="1" x14ac:dyDescent="0.4">
      <c r="A80" s="88"/>
      <c r="B80" s="88"/>
      <c r="C80" s="88"/>
      <c r="D80" s="217"/>
      <c r="E80" s="219" t="s">
        <v>134</v>
      </c>
      <c r="F80" s="270">
        <v>1.5</v>
      </c>
      <c r="G80" s="271">
        <v>0.95</v>
      </c>
      <c r="H80" s="201"/>
      <c r="I80" s="202"/>
      <c r="J80" s="202"/>
      <c r="K80" s="203"/>
      <c r="L80" s="118"/>
      <c r="M80" s="119"/>
      <c r="N80" s="120"/>
      <c r="O80" s="201"/>
      <c r="P80" s="202"/>
      <c r="Q80" s="202"/>
      <c r="R80" s="203"/>
      <c r="S80" s="88"/>
      <c r="T80" s="88"/>
      <c r="U80" s="88"/>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row>
    <row r="81" spans="1:52" ht="32.25" customHeight="1" thickBot="1" x14ac:dyDescent="0.4">
      <c r="A81" s="88"/>
      <c r="B81" s="88"/>
      <c r="C81" s="88"/>
      <c r="D81" s="111"/>
      <c r="E81" s="240" t="s">
        <v>154</v>
      </c>
      <c r="F81" s="98"/>
      <c r="G81" s="103"/>
      <c r="H81" s="370">
        <f>+H75*$F75+H76*$F76+H77*$F77+H78*$F78+H79*$F79+H80*$F80</f>
        <v>0</v>
      </c>
      <c r="I81" s="370">
        <f>+I75*$F75+I76*$F76+I77*$F77+I78*$F78+I79*$F79+I80*$F80</f>
        <v>0</v>
      </c>
      <c r="J81" s="370">
        <f>+J75*$F75+J76*$F76+J77*$F77+J78*$F78+J79*$F79+J80*$F80</f>
        <v>18.88</v>
      </c>
      <c r="K81" s="370">
        <f>+K75*$F75+K76*$F76+K77*$F77+K78*$F78+K79*$F79+K80*$F80</f>
        <v>0</v>
      </c>
      <c r="L81" s="371"/>
      <c r="M81" s="372"/>
      <c r="N81" s="373"/>
      <c r="O81" s="366">
        <f>+O75*$F75+O78*$F78</f>
        <v>0</v>
      </c>
      <c r="P81" s="374">
        <f>+P75*$F75+P78*$F78</f>
        <v>4.8</v>
      </c>
      <c r="Q81" s="374">
        <f>+Q75*$F75+Q78*$F78</f>
        <v>0</v>
      </c>
      <c r="R81" s="375">
        <f>+R75*$F75+R78*$F78</f>
        <v>0</v>
      </c>
      <c r="S81" s="88"/>
      <c r="T81" s="88"/>
      <c r="U81" s="88"/>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row>
    <row r="82" spans="1:52" ht="30.75" customHeight="1" thickBot="1" x14ac:dyDescent="0.4">
      <c r="A82" s="88"/>
      <c r="B82" s="88"/>
      <c r="C82" s="88"/>
      <c r="D82" s="111"/>
      <c r="E82" s="240" t="s">
        <v>155</v>
      </c>
      <c r="F82" s="100"/>
      <c r="G82" s="102"/>
      <c r="H82" s="370">
        <f>+H75*$G75+H76*$G76+H77*$G77+H78*$G78+H79*$G79+H80*$G80</f>
        <v>0</v>
      </c>
      <c r="I82" s="370">
        <f>+I75*$G75+I76*$G76+I77*$G77+I78*$G78+I79*$G79+I80*$G80</f>
        <v>0</v>
      </c>
      <c r="J82" s="370">
        <f>+J75*$G75+J76*$G76+J77*$G77+J78*$G78+J79*$G79+J80*$G80</f>
        <v>14.023999999999999</v>
      </c>
      <c r="K82" s="370">
        <f>+K75*$G75+K76*$G76+K77*$G77+K78*$G78+K79*$G79+K80*$G80</f>
        <v>0</v>
      </c>
      <c r="L82" s="367"/>
      <c r="M82" s="368"/>
      <c r="N82" s="369"/>
      <c r="O82" s="366">
        <f>+O75*$G75+O78*$G78</f>
        <v>0</v>
      </c>
      <c r="P82" s="374">
        <f>+P75*$G75+P78*$G78</f>
        <v>4</v>
      </c>
      <c r="Q82" s="374">
        <f>+Q75*$G75+Q78*$G78</f>
        <v>0</v>
      </c>
      <c r="R82" s="375">
        <f>+R75*$G75+R78*$G78</f>
        <v>0</v>
      </c>
      <c r="S82" s="88"/>
      <c r="T82" s="88"/>
      <c r="U82" s="88"/>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row>
    <row r="83" spans="1:52" ht="21.75" thickBot="1" x14ac:dyDescent="0.4">
      <c r="A83" s="88"/>
      <c r="B83" s="88"/>
      <c r="C83" s="88"/>
      <c r="D83" s="97"/>
      <c r="E83" s="97"/>
      <c r="F83" s="97"/>
      <c r="G83" s="97"/>
      <c r="H83" s="108"/>
      <c r="I83" s="108"/>
      <c r="J83" s="108"/>
      <c r="K83" s="108"/>
      <c r="L83" s="108"/>
      <c r="M83" s="108"/>
      <c r="N83" s="108"/>
      <c r="O83" s="108"/>
      <c r="P83" s="108"/>
      <c r="Q83" s="108"/>
      <c r="R83" s="108"/>
      <c r="S83" s="88"/>
      <c r="T83" s="88"/>
      <c r="U83" s="88"/>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row>
    <row r="84" spans="1:52" x14ac:dyDescent="0.35">
      <c r="A84" s="88"/>
      <c r="B84" s="88"/>
      <c r="C84" s="88"/>
      <c r="D84" s="552" t="s">
        <v>228</v>
      </c>
      <c r="E84" s="553"/>
      <c r="F84" s="567" t="s">
        <v>201</v>
      </c>
      <c r="G84" s="568"/>
      <c r="H84" s="558" t="s">
        <v>200</v>
      </c>
      <c r="I84" s="559"/>
      <c r="J84" s="559"/>
      <c r="K84" s="559"/>
      <c r="L84" s="559"/>
      <c r="M84" s="559"/>
      <c r="N84" s="559"/>
      <c r="O84" s="559"/>
      <c r="P84" s="559"/>
      <c r="Q84" s="559"/>
      <c r="R84" s="560"/>
      <c r="S84" s="88"/>
      <c r="T84" s="88"/>
      <c r="U84" s="88"/>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row>
    <row r="85" spans="1:52" ht="24" thickBot="1" x14ac:dyDescent="0.4">
      <c r="A85" s="303" t="s">
        <v>215</v>
      </c>
      <c r="B85" s="88"/>
      <c r="C85" s="88"/>
      <c r="D85" s="554"/>
      <c r="E85" s="555"/>
      <c r="F85" s="285" t="s">
        <v>22</v>
      </c>
      <c r="G85" s="286" t="s">
        <v>23</v>
      </c>
      <c r="H85" s="561"/>
      <c r="I85" s="562"/>
      <c r="J85" s="562"/>
      <c r="K85" s="562"/>
      <c r="L85" s="562"/>
      <c r="M85" s="562"/>
      <c r="N85" s="562"/>
      <c r="O85" s="562"/>
      <c r="P85" s="562"/>
      <c r="Q85" s="562"/>
      <c r="R85" s="563"/>
      <c r="S85" s="88"/>
      <c r="T85" s="88"/>
      <c r="U85" s="88"/>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row>
    <row r="86" spans="1:52" ht="18" customHeight="1" thickBot="1" x14ac:dyDescent="0.4">
      <c r="A86" s="251" t="s">
        <v>208</v>
      </c>
      <c r="B86" s="88"/>
      <c r="C86" s="88"/>
      <c r="D86" s="216" t="s">
        <v>121</v>
      </c>
      <c r="E86" s="237" t="s">
        <v>122</v>
      </c>
      <c r="F86" s="279">
        <v>3.5</v>
      </c>
      <c r="G86" s="280">
        <v>2.9</v>
      </c>
      <c r="H86" s="195"/>
      <c r="I86" s="196"/>
      <c r="J86" s="196"/>
      <c r="K86" s="197">
        <v>2</v>
      </c>
      <c r="L86" s="112"/>
      <c r="M86" s="113"/>
      <c r="N86" s="114"/>
      <c r="O86" s="195"/>
      <c r="P86" s="196"/>
      <c r="Q86" s="196"/>
      <c r="R86" s="197"/>
      <c r="S86" s="88"/>
      <c r="T86" s="88"/>
      <c r="U86" s="88"/>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row>
    <row r="87" spans="1:52" ht="18" customHeight="1" thickBot="1" x14ac:dyDescent="0.4">
      <c r="A87" s="249" t="s">
        <v>209</v>
      </c>
      <c r="B87" s="88"/>
      <c r="C87" s="88"/>
      <c r="D87" s="217" t="s">
        <v>116</v>
      </c>
      <c r="E87" s="237" t="s">
        <v>117</v>
      </c>
      <c r="F87" s="279">
        <v>4</v>
      </c>
      <c r="G87" s="281">
        <v>2.7</v>
      </c>
      <c r="H87" s="204"/>
      <c r="I87" s="205"/>
      <c r="J87" s="205"/>
      <c r="K87" s="206"/>
      <c r="L87" s="118"/>
      <c r="M87" s="119"/>
      <c r="N87" s="120"/>
      <c r="O87" s="204"/>
      <c r="P87" s="205"/>
      <c r="Q87" s="205"/>
      <c r="R87" s="206"/>
      <c r="S87" s="88"/>
      <c r="T87" s="88"/>
      <c r="U87" s="88"/>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row>
    <row r="88" spans="1:52" ht="18" customHeight="1" x14ac:dyDescent="0.35">
      <c r="A88" s="249" t="s">
        <v>227</v>
      </c>
      <c r="B88" s="88"/>
      <c r="C88" s="88"/>
      <c r="D88" s="218"/>
      <c r="E88" s="238" t="s">
        <v>21</v>
      </c>
      <c r="F88" s="282">
        <v>0.01</v>
      </c>
      <c r="G88" s="283">
        <v>3.0000000000000001E-3</v>
      </c>
      <c r="H88" s="195"/>
      <c r="I88" s="196"/>
      <c r="J88" s="196"/>
      <c r="K88" s="197"/>
      <c r="L88" s="133"/>
      <c r="M88" s="134"/>
      <c r="N88" s="135"/>
      <c r="O88" s="195"/>
      <c r="P88" s="196"/>
      <c r="Q88" s="196"/>
      <c r="R88" s="197"/>
      <c r="S88" s="88"/>
      <c r="T88" s="88"/>
      <c r="U88" s="88"/>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row>
    <row r="89" spans="1:52" ht="18" customHeight="1" thickBot="1" x14ac:dyDescent="0.4">
      <c r="A89" s="249" t="s">
        <v>217</v>
      </c>
      <c r="B89" s="88"/>
      <c r="C89" s="88"/>
      <c r="D89" s="217"/>
      <c r="E89" s="239" t="s">
        <v>134</v>
      </c>
      <c r="F89" s="284">
        <v>1.5</v>
      </c>
      <c r="G89" s="271">
        <v>0.95</v>
      </c>
      <c r="H89" s="201"/>
      <c r="I89" s="202"/>
      <c r="J89" s="202"/>
      <c r="K89" s="203">
        <v>4</v>
      </c>
      <c r="L89" s="133"/>
      <c r="M89" s="134"/>
      <c r="N89" s="135"/>
      <c r="O89" s="201"/>
      <c r="P89" s="202"/>
      <c r="Q89" s="202"/>
      <c r="R89" s="203"/>
      <c r="S89" s="88"/>
      <c r="T89" s="88"/>
      <c r="U89" s="88"/>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row>
    <row r="90" spans="1:52" ht="32.25" customHeight="1" thickBot="1" x14ac:dyDescent="0.4">
      <c r="A90" s="251" t="s">
        <v>223</v>
      </c>
      <c r="B90" s="88"/>
      <c r="C90" s="88"/>
      <c r="D90" s="111"/>
      <c r="E90" s="240" t="s">
        <v>156</v>
      </c>
      <c r="F90" s="98"/>
      <c r="G90" s="103"/>
      <c r="H90" s="186">
        <f>+H86*$F86+H87*$F87+H88*$F88+H89*$F89</f>
        <v>0</v>
      </c>
      <c r="I90" s="187">
        <f>+I86*$F86+I87*$F87+I88*$F88+I89*$F89</f>
        <v>0</v>
      </c>
      <c r="J90" s="187">
        <f>+J86*$F86+J87*$F87+J88*$F88+J89*$F89</f>
        <v>0</v>
      </c>
      <c r="K90" s="188">
        <f>K86*$F86+K87*$F87+K88*$F88+K89*$F89</f>
        <v>13</v>
      </c>
      <c r="L90" s="121"/>
      <c r="M90" s="122"/>
      <c r="N90" s="123"/>
      <c r="O90" s="190">
        <f>+O86*$F86+O87*$F87+O88*$F88+O89*$F89</f>
        <v>0</v>
      </c>
      <c r="P90" s="189">
        <f>+P86*$F86+P87*$F87+P88*$F88+P89*$F89</f>
        <v>0</v>
      </c>
      <c r="Q90" s="189">
        <f>+Q86*$F86+Q87*$F87+Q88*$F88+Q89*$F89</f>
        <v>0</v>
      </c>
      <c r="R90" s="191">
        <f>+R86*$F86+R87*$F87+R88*$F88+R89*$F89</f>
        <v>0</v>
      </c>
      <c r="S90" s="88"/>
      <c r="T90" s="88"/>
      <c r="U90" s="88"/>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row>
    <row r="91" spans="1:52" ht="33.75" customHeight="1" thickBot="1" x14ac:dyDescent="0.4">
      <c r="A91" s="88"/>
      <c r="B91" s="88"/>
      <c r="C91" s="88"/>
      <c r="D91" s="111"/>
      <c r="E91" s="240" t="s">
        <v>157</v>
      </c>
      <c r="F91" s="100"/>
      <c r="G91" s="102"/>
      <c r="H91" s="190">
        <f>+H86*$G86+H87*$G87+H88*$G88+H89*$G89</f>
        <v>0</v>
      </c>
      <c r="I91" s="189">
        <f>+I86*$G86+I87*$G87+I88*$G88+I89*$G89</f>
        <v>0</v>
      </c>
      <c r="J91" s="189">
        <f>+J86*$G86+J87*$G87+J88*$G88+J89*$G89</f>
        <v>0</v>
      </c>
      <c r="K91" s="191">
        <f>K86*$G86+K87*$G87+K88*$G88+K89*$G89</f>
        <v>9.6</v>
      </c>
      <c r="L91" s="121"/>
      <c r="M91" s="122"/>
      <c r="N91" s="123"/>
      <c r="O91" s="190">
        <f>+O86*$G86+O87*$G87+O88*$G88+O89*$G89</f>
        <v>0</v>
      </c>
      <c r="P91" s="189">
        <f>+P86*$G86+P87*$G87+P88*$G88+P89*$G89</f>
        <v>0</v>
      </c>
      <c r="Q91" s="189">
        <f>+Q86*$G86+Q87*$G87+Q88*$G88+Q89*$G89</f>
        <v>0</v>
      </c>
      <c r="R91" s="191">
        <f>+R86*$G86+R87*$G87+R88*$G88+R89*$G89</f>
        <v>0</v>
      </c>
      <c r="S91" s="88"/>
      <c r="T91" s="88"/>
      <c r="U91" s="88"/>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row>
    <row r="92" spans="1:52" x14ac:dyDescent="0.35">
      <c r="A92" s="88"/>
      <c r="B92" s="88"/>
      <c r="C92" s="88"/>
      <c r="D92" s="97"/>
      <c r="E92" s="97"/>
      <c r="F92" s="97"/>
      <c r="G92" s="97"/>
      <c r="H92" s="108"/>
      <c r="I92" s="108"/>
      <c r="J92" s="108"/>
      <c r="K92" s="108"/>
      <c r="L92" s="108"/>
      <c r="M92" s="108"/>
      <c r="N92" s="108"/>
      <c r="O92" s="108"/>
      <c r="P92" s="108"/>
      <c r="Q92" s="108"/>
      <c r="R92" s="108"/>
      <c r="S92" s="88"/>
      <c r="T92" s="88"/>
      <c r="U92" s="88"/>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row>
    <row r="93" spans="1:52" ht="24" thickBot="1" x14ac:dyDescent="0.4">
      <c r="A93" s="302" t="s">
        <v>218</v>
      </c>
      <c r="B93" s="299"/>
      <c r="C93" s="88"/>
      <c r="D93" s="97"/>
      <c r="E93" s="97"/>
      <c r="F93" s="97"/>
      <c r="G93" s="97"/>
      <c r="H93" s="108"/>
      <c r="I93" s="108"/>
      <c r="J93" s="108"/>
      <c r="K93" s="108"/>
      <c r="L93" s="108"/>
      <c r="M93" s="108"/>
      <c r="N93" s="108"/>
      <c r="O93" s="108"/>
      <c r="P93" s="108"/>
      <c r="Q93" s="108"/>
      <c r="R93" s="108"/>
      <c r="S93" s="88"/>
      <c r="T93" s="89"/>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row>
    <row r="94" spans="1:52" ht="21.75" thickBot="1" x14ac:dyDescent="0.4">
      <c r="A94" s="88"/>
      <c r="B94" s="88"/>
      <c r="C94" s="88"/>
      <c r="D94" s="574" t="s">
        <v>193</v>
      </c>
      <c r="E94" s="575"/>
      <c r="F94" s="575"/>
      <c r="G94" s="576"/>
      <c r="H94" s="192">
        <f t="shared" ref="H94:R94" si="16">H90+H81+H70+H61+H44+H27+H18</f>
        <v>219</v>
      </c>
      <c r="I94" s="192">
        <f t="shared" si="16"/>
        <v>321.3</v>
      </c>
      <c r="J94" s="192">
        <f t="shared" si="16"/>
        <v>219.98</v>
      </c>
      <c r="K94" s="192">
        <f t="shared" si="16"/>
        <v>209.1</v>
      </c>
      <c r="L94" s="192">
        <f t="shared" si="16"/>
        <v>153.69999999999999</v>
      </c>
      <c r="M94" s="192">
        <f t="shared" si="16"/>
        <v>153.69999999999999</v>
      </c>
      <c r="N94" s="192">
        <f t="shared" si="16"/>
        <v>153.69999999999999</v>
      </c>
      <c r="O94" s="192">
        <f t="shared" si="16"/>
        <v>0</v>
      </c>
      <c r="P94" s="192">
        <f t="shared" si="16"/>
        <v>205.9</v>
      </c>
      <c r="Q94" s="192">
        <f t="shared" si="16"/>
        <v>321.3</v>
      </c>
      <c r="R94" s="193">
        <f t="shared" si="16"/>
        <v>224.24</v>
      </c>
      <c r="S94" s="88"/>
      <c r="T94" s="136"/>
      <c r="U94" s="11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row>
    <row r="95" spans="1:52" ht="21.75" thickBot="1" x14ac:dyDescent="0.4">
      <c r="A95" s="88"/>
      <c r="B95" s="88"/>
      <c r="C95" s="88"/>
      <c r="D95" s="574" t="s">
        <v>194</v>
      </c>
      <c r="E95" s="575"/>
      <c r="F95" s="575"/>
      <c r="G95" s="576"/>
      <c r="H95" s="192">
        <f t="shared" ref="H95:R95" si="17">H91+H82+H71+H62+H45+H28+H19</f>
        <v>161.74</v>
      </c>
      <c r="I95" s="192">
        <f t="shared" si="17"/>
        <v>235.56</v>
      </c>
      <c r="J95" s="192">
        <f t="shared" si="17"/>
        <v>165.22399999999999</v>
      </c>
      <c r="K95" s="192">
        <f t="shared" si="17"/>
        <v>157.01999999999998</v>
      </c>
      <c r="L95" s="192">
        <f t="shared" si="17"/>
        <v>115.6</v>
      </c>
      <c r="M95" s="192">
        <f t="shared" si="17"/>
        <v>115.6</v>
      </c>
      <c r="N95" s="192">
        <f t="shared" si="17"/>
        <v>115.6</v>
      </c>
      <c r="O95" s="192">
        <f t="shared" si="17"/>
        <v>0</v>
      </c>
      <c r="P95" s="192">
        <f t="shared" si="17"/>
        <v>155.19999999999999</v>
      </c>
      <c r="Q95" s="192">
        <f t="shared" si="17"/>
        <v>235.56</v>
      </c>
      <c r="R95" s="193">
        <f t="shared" si="17"/>
        <v>169.74</v>
      </c>
      <c r="S95" s="88"/>
      <c r="T95" s="136"/>
      <c r="U95" s="11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row>
    <row r="96" spans="1:52" x14ac:dyDescent="0.3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row>
    <row r="97" spans="1:52" x14ac:dyDescent="0.3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row>
    <row r="98" spans="1:52" ht="24" thickBot="1" x14ac:dyDescent="0.4">
      <c r="A98" s="301" t="s">
        <v>222</v>
      </c>
      <c r="B98" s="30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row>
    <row r="99" spans="1:52" x14ac:dyDescent="0.35">
      <c r="A99" s="15" t="s">
        <v>199</v>
      </c>
      <c r="B99" s="90"/>
      <c r="C99" s="90"/>
      <c r="D99" s="168" t="s">
        <v>233</v>
      </c>
      <c r="E99" s="169"/>
      <c r="F99" s="169"/>
      <c r="G99" s="169"/>
      <c r="H99" s="169"/>
      <c r="I99" s="169"/>
      <c r="J99" s="169"/>
      <c r="K99" s="169"/>
      <c r="L99" s="546" t="s">
        <v>22</v>
      </c>
      <c r="M99" s="546"/>
      <c r="N99" s="169"/>
      <c r="O99" s="169"/>
      <c r="P99" s="546" t="s">
        <v>23</v>
      </c>
      <c r="Q99" s="546"/>
      <c r="R99" s="176"/>
      <c r="S99" s="137"/>
      <c r="T99" s="456" t="s">
        <v>350</v>
      </c>
      <c r="U99" s="457"/>
      <c r="V99" s="458"/>
      <c r="W99" s="459"/>
      <c r="X99" s="460"/>
      <c r="Y99" s="461"/>
      <c r="Z99" s="460"/>
      <c r="AA99" s="460"/>
      <c r="AB99" s="460"/>
      <c r="AC99" s="460"/>
      <c r="AD99" s="460"/>
      <c r="AE99" s="462"/>
      <c r="AF99" s="90"/>
      <c r="AG99" s="90"/>
      <c r="AH99" s="90"/>
      <c r="AI99" s="90"/>
      <c r="AJ99" s="90"/>
      <c r="AK99" s="90"/>
      <c r="AL99" s="90"/>
      <c r="AM99" s="90"/>
      <c r="AN99" s="90"/>
      <c r="AO99" s="90"/>
      <c r="AP99" s="90"/>
      <c r="AQ99" s="90"/>
      <c r="AR99" s="90"/>
      <c r="AS99" s="90"/>
      <c r="AT99" s="90"/>
      <c r="AU99" s="90"/>
      <c r="AV99" s="90"/>
      <c r="AW99" s="90"/>
      <c r="AX99" s="90"/>
      <c r="AY99" s="90"/>
      <c r="AZ99" s="90"/>
    </row>
    <row r="100" spans="1:52" x14ac:dyDescent="0.35">
      <c r="A100" s="137" t="s">
        <v>243</v>
      </c>
      <c r="B100" s="90"/>
      <c r="C100" s="90"/>
      <c r="D100" s="179"/>
      <c r="E100" s="172"/>
      <c r="F100" s="172"/>
      <c r="G100" s="172"/>
      <c r="H100" s="171" t="s">
        <v>198</v>
      </c>
      <c r="I100" s="172"/>
      <c r="J100" s="172"/>
      <c r="K100" s="172"/>
      <c r="L100" s="548">
        <f>SUM(AW53:AZ53)</f>
        <v>2800</v>
      </c>
      <c r="M100" s="544"/>
      <c r="N100" s="172" t="s">
        <v>192</v>
      </c>
      <c r="O100" s="172"/>
      <c r="P100" s="548">
        <f>SUM(AW53:AZ53)</f>
        <v>2800</v>
      </c>
      <c r="Q100" s="544"/>
      <c r="R100" s="177" t="s">
        <v>192</v>
      </c>
      <c r="S100" s="137"/>
      <c r="T100" s="463"/>
      <c r="U100" s="464"/>
      <c r="V100" s="464"/>
      <c r="W100" s="464"/>
      <c r="X100" s="464"/>
      <c r="Y100" s="465" t="s">
        <v>22</v>
      </c>
      <c r="Z100" s="464"/>
      <c r="AA100" s="464"/>
      <c r="AB100" s="464"/>
      <c r="AC100" s="465" t="s">
        <v>23</v>
      </c>
      <c r="AD100" s="464"/>
      <c r="AE100" s="466"/>
      <c r="AF100" s="90"/>
      <c r="AG100" s="90"/>
      <c r="AH100" s="90"/>
      <c r="AI100" s="90"/>
      <c r="AJ100" s="90"/>
      <c r="AK100" s="90"/>
      <c r="AL100" s="90"/>
      <c r="AM100" s="90"/>
      <c r="AN100" s="90"/>
      <c r="AO100" s="90"/>
      <c r="AP100" s="90"/>
      <c r="AQ100" s="90"/>
      <c r="AR100" s="90"/>
      <c r="AS100" s="90"/>
      <c r="AT100" s="90"/>
      <c r="AU100" s="90"/>
      <c r="AV100" s="90"/>
      <c r="AW100" s="90"/>
      <c r="AX100" s="90"/>
      <c r="AY100" s="90"/>
      <c r="AZ100" s="90"/>
    </row>
    <row r="101" spans="1:52" ht="11.25" customHeight="1" x14ac:dyDescent="0.35">
      <c r="A101" s="90"/>
      <c r="B101" s="90"/>
      <c r="C101" s="90"/>
      <c r="D101" s="179"/>
      <c r="E101" s="172"/>
      <c r="F101" s="172"/>
      <c r="G101" s="172"/>
      <c r="H101" s="172"/>
      <c r="I101" s="172"/>
      <c r="J101" s="172"/>
      <c r="K101" s="172"/>
      <c r="L101" s="182"/>
      <c r="M101" s="183"/>
      <c r="N101" s="172"/>
      <c r="O101" s="172"/>
      <c r="P101" s="182"/>
      <c r="Q101" s="183"/>
      <c r="R101" s="177"/>
      <c r="S101" s="137"/>
      <c r="T101" s="463"/>
      <c r="U101" s="464"/>
      <c r="V101" s="464"/>
      <c r="W101" s="464"/>
      <c r="X101" s="464"/>
      <c r="Y101" s="465"/>
      <c r="Z101" s="464"/>
      <c r="AA101" s="464"/>
      <c r="AB101" s="464"/>
      <c r="AC101" s="464"/>
      <c r="AD101" s="464"/>
      <c r="AE101" s="466"/>
      <c r="AF101" s="90"/>
      <c r="AG101" s="90"/>
      <c r="AH101" s="90"/>
      <c r="AI101" s="90"/>
      <c r="AJ101" s="90"/>
      <c r="AK101" s="90"/>
      <c r="AL101" s="90"/>
      <c r="AM101" s="90"/>
      <c r="AN101" s="90"/>
      <c r="AO101" s="90"/>
      <c r="AP101" s="90"/>
      <c r="AQ101" s="90"/>
      <c r="AR101" s="90"/>
      <c r="AS101" s="90"/>
      <c r="AT101" s="90"/>
      <c r="AU101" s="90"/>
      <c r="AV101" s="90"/>
      <c r="AW101" s="90"/>
      <c r="AX101" s="90"/>
      <c r="AY101" s="90"/>
      <c r="AZ101" s="90"/>
    </row>
    <row r="102" spans="1:52" x14ac:dyDescent="0.35">
      <c r="A102" s="90"/>
      <c r="B102" s="90"/>
      <c r="C102" s="90"/>
      <c r="D102" s="170"/>
      <c r="E102" s="171"/>
      <c r="F102" s="172"/>
      <c r="G102" s="172"/>
      <c r="H102" s="171" t="s">
        <v>158</v>
      </c>
      <c r="I102" s="172"/>
      <c r="J102" s="172"/>
      <c r="K102" s="172"/>
      <c r="L102" s="543">
        <f>SUM($H$94:$R$94)+(5*('Board Power'!F12))</f>
        <v>2889.42</v>
      </c>
      <c r="M102" s="544"/>
      <c r="N102" s="172" t="s">
        <v>192</v>
      </c>
      <c r="O102" s="172"/>
      <c r="P102" s="543">
        <f>SUM($H$95:$R$95)+(5*('Board Power'!F12))</f>
        <v>2334.3440000000001</v>
      </c>
      <c r="Q102" s="544"/>
      <c r="R102" s="177" t="s">
        <v>192</v>
      </c>
      <c r="S102" s="137"/>
      <c r="T102" s="463"/>
      <c r="U102" s="467" t="s">
        <v>348</v>
      </c>
      <c r="V102" s="464"/>
      <c r="W102" s="464"/>
      <c r="X102" s="464"/>
      <c r="Y102" s="540">
        <f>L102*3.412</f>
        <v>9858.7010399999999</v>
      </c>
      <c r="Z102" s="540"/>
      <c r="AA102" s="468" t="s">
        <v>349</v>
      </c>
      <c r="AB102" s="468"/>
      <c r="AC102" s="540">
        <f>P102*3.412</f>
        <v>7964.7817279999999</v>
      </c>
      <c r="AD102" s="540"/>
      <c r="AE102" s="177" t="s">
        <v>349</v>
      </c>
      <c r="AF102" s="90"/>
      <c r="AG102" s="90"/>
      <c r="AH102" s="90"/>
      <c r="AI102" s="90"/>
      <c r="AJ102" s="90"/>
      <c r="AK102" s="90"/>
      <c r="AL102" s="90"/>
      <c r="AM102" s="90"/>
      <c r="AN102" s="90"/>
      <c r="AO102" s="90"/>
      <c r="AP102" s="90"/>
      <c r="AQ102" s="90"/>
      <c r="AR102" s="90"/>
      <c r="AS102" s="90"/>
      <c r="AT102" s="90"/>
      <c r="AU102" s="90"/>
      <c r="AV102" s="90"/>
      <c r="AW102" s="90"/>
      <c r="AX102" s="90"/>
      <c r="AY102" s="90"/>
      <c r="AZ102" s="90"/>
    </row>
    <row r="103" spans="1:52" ht="13.5" customHeight="1" x14ac:dyDescent="0.35">
      <c r="A103" s="90"/>
      <c r="B103" s="90"/>
      <c r="C103" s="90"/>
      <c r="D103" s="170"/>
      <c r="E103" s="172"/>
      <c r="F103" s="172"/>
      <c r="G103" s="172"/>
      <c r="H103" s="245"/>
      <c r="I103" s="183"/>
      <c r="J103" s="172"/>
      <c r="K103" s="172"/>
      <c r="L103" s="246"/>
      <c r="M103" s="247"/>
      <c r="N103" s="172"/>
      <c r="O103" s="172"/>
      <c r="P103" s="246"/>
      <c r="Q103" s="247"/>
      <c r="R103" s="177"/>
      <c r="S103" s="137"/>
      <c r="T103" s="463"/>
      <c r="U103" s="464"/>
      <c r="V103" s="464"/>
      <c r="W103" s="464"/>
      <c r="X103" s="464"/>
      <c r="Y103" s="464"/>
      <c r="Z103" s="464"/>
      <c r="AA103" s="464"/>
      <c r="AB103" s="464"/>
      <c r="AC103" s="464"/>
      <c r="AD103" s="464"/>
      <c r="AE103" s="466"/>
      <c r="AF103" s="90"/>
      <c r="AG103" s="90"/>
      <c r="AH103" s="90"/>
      <c r="AI103" s="90"/>
      <c r="AJ103" s="90"/>
      <c r="AK103" s="90"/>
      <c r="AL103" s="90"/>
      <c r="AM103" s="90"/>
      <c r="AN103" s="90"/>
      <c r="AO103" s="90"/>
      <c r="AP103" s="90"/>
      <c r="AQ103" s="90"/>
      <c r="AR103" s="90"/>
      <c r="AS103" s="90"/>
      <c r="AT103" s="90"/>
      <c r="AU103" s="90"/>
      <c r="AV103" s="90"/>
      <c r="AW103" s="90"/>
      <c r="AX103" s="90"/>
      <c r="AY103" s="90"/>
      <c r="AZ103" s="90"/>
    </row>
    <row r="104" spans="1:52" ht="21.75" thickBot="1" x14ac:dyDescent="0.4">
      <c r="A104" s="90"/>
      <c r="B104" s="90"/>
      <c r="C104" s="90"/>
      <c r="D104" s="173"/>
      <c r="E104" s="244"/>
      <c r="F104" s="174"/>
      <c r="G104" s="174"/>
      <c r="H104" s="248" t="s">
        <v>199</v>
      </c>
      <c r="I104" s="248"/>
      <c r="J104" s="174"/>
      <c r="K104" s="174"/>
      <c r="L104" s="545">
        <f>L100-L102</f>
        <v>-89.420000000000073</v>
      </c>
      <c r="M104" s="542"/>
      <c r="N104" s="174" t="s">
        <v>192</v>
      </c>
      <c r="O104" s="174"/>
      <c r="P104" s="545">
        <f>P100-P102</f>
        <v>465.65599999999995</v>
      </c>
      <c r="Q104" s="542"/>
      <c r="R104" s="175" t="s">
        <v>192</v>
      </c>
      <c r="S104" s="137"/>
      <c r="T104" s="469"/>
      <c r="U104" s="248"/>
      <c r="V104" s="248"/>
      <c r="W104" s="470"/>
      <c r="X104" s="174"/>
      <c r="Y104" s="470"/>
      <c r="Z104" s="470"/>
      <c r="AA104" s="470"/>
      <c r="AB104" s="470"/>
      <c r="AC104" s="470"/>
      <c r="AD104" s="470"/>
      <c r="AE104" s="175"/>
      <c r="AF104" s="90"/>
      <c r="AG104" s="90"/>
      <c r="AH104" s="90"/>
      <c r="AI104" s="90"/>
      <c r="AJ104" s="90"/>
      <c r="AK104" s="90"/>
      <c r="AL104" s="90"/>
      <c r="AM104" s="90"/>
      <c r="AN104" s="90"/>
      <c r="AO104" s="90"/>
      <c r="AP104" s="90"/>
      <c r="AQ104" s="90"/>
      <c r="AR104" s="90"/>
      <c r="AS104" s="90"/>
      <c r="AT104" s="90"/>
      <c r="AU104" s="90"/>
      <c r="AV104" s="90"/>
      <c r="AW104" s="90"/>
      <c r="AX104" s="90"/>
      <c r="AY104" s="90"/>
      <c r="AZ104" s="90"/>
    </row>
    <row r="105" spans="1:52" ht="21.75" thickBot="1" x14ac:dyDescent="0.4">
      <c r="A105" s="90"/>
      <c r="B105" s="90"/>
      <c r="C105" s="90"/>
      <c r="D105" s="138"/>
      <c r="E105" s="138"/>
      <c r="F105" s="138"/>
      <c r="G105" s="138"/>
      <c r="H105" s="138"/>
      <c r="I105" s="138"/>
      <c r="J105" s="138"/>
      <c r="K105" s="138"/>
      <c r="L105" s="138"/>
      <c r="M105" s="138"/>
      <c r="N105" s="138"/>
      <c r="O105" s="138"/>
      <c r="P105" s="138"/>
      <c r="Q105" s="138"/>
      <c r="R105" s="138"/>
      <c r="S105" s="137"/>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row>
    <row r="106" spans="1:52" x14ac:dyDescent="0.35">
      <c r="A106" s="90"/>
      <c r="B106" s="90"/>
      <c r="C106" s="90"/>
      <c r="D106" s="168" t="s">
        <v>234</v>
      </c>
      <c r="E106" s="169"/>
      <c r="F106" s="169"/>
      <c r="G106" s="169"/>
      <c r="H106" s="169"/>
      <c r="I106" s="169"/>
      <c r="J106" s="169"/>
      <c r="K106" s="169"/>
      <c r="L106" s="546" t="s">
        <v>22</v>
      </c>
      <c r="M106" s="547"/>
      <c r="N106" s="169"/>
      <c r="O106" s="169"/>
      <c r="P106" s="546" t="s">
        <v>23</v>
      </c>
      <c r="Q106" s="547"/>
      <c r="R106" s="176"/>
      <c r="S106" s="137"/>
      <c r="T106" s="456" t="s">
        <v>350</v>
      </c>
      <c r="U106" s="460"/>
      <c r="V106" s="461"/>
      <c r="W106" s="459"/>
      <c r="X106" s="460"/>
      <c r="Y106" s="461"/>
      <c r="Z106" s="460"/>
      <c r="AA106" s="460"/>
      <c r="AB106" s="460"/>
      <c r="AC106" s="460"/>
      <c r="AD106" s="460"/>
      <c r="AE106" s="462"/>
      <c r="AF106" s="90"/>
      <c r="AG106" s="90"/>
      <c r="AH106" s="90"/>
      <c r="AI106" s="90"/>
      <c r="AJ106" s="90"/>
      <c r="AK106" s="90"/>
      <c r="AL106" s="90"/>
      <c r="AM106" s="90"/>
      <c r="AN106" s="90"/>
      <c r="AO106" s="90"/>
      <c r="AP106" s="90"/>
      <c r="AQ106" s="90"/>
      <c r="AR106" s="90"/>
      <c r="AS106" s="90"/>
      <c r="AT106" s="90"/>
      <c r="AU106" s="90"/>
      <c r="AV106" s="90"/>
      <c r="AW106" s="90"/>
      <c r="AX106" s="90"/>
      <c r="AY106" s="90"/>
      <c r="AZ106" s="90"/>
    </row>
    <row r="107" spans="1:52" ht="21.75" thickBot="1" x14ac:dyDescent="0.4">
      <c r="A107" s="90"/>
      <c r="B107" s="90"/>
      <c r="C107" s="90"/>
      <c r="D107" s="179"/>
      <c r="E107" s="172"/>
      <c r="F107" s="172"/>
      <c r="G107" s="172"/>
      <c r="H107" s="171" t="s">
        <v>198</v>
      </c>
      <c r="I107" s="172"/>
      <c r="J107" s="172"/>
      <c r="K107" s="172"/>
      <c r="L107" s="541">
        <f>SUM(AW54:AZ54)</f>
        <v>2520</v>
      </c>
      <c r="M107" s="542"/>
      <c r="N107" s="172" t="s">
        <v>192</v>
      </c>
      <c r="O107" s="172"/>
      <c r="P107" s="541">
        <f>SUM(AW54:AZ54)</f>
        <v>2520</v>
      </c>
      <c r="Q107" s="542"/>
      <c r="R107" s="177" t="s">
        <v>192</v>
      </c>
      <c r="S107" s="137"/>
      <c r="T107" s="463"/>
      <c r="U107" s="464"/>
      <c r="V107" s="464"/>
      <c r="W107" s="464"/>
      <c r="X107" s="464"/>
      <c r="Y107" s="464"/>
      <c r="Z107" s="464"/>
      <c r="AA107" s="464"/>
      <c r="AB107" s="464"/>
      <c r="AC107" s="464"/>
      <c r="AD107" s="464"/>
      <c r="AE107" s="466"/>
      <c r="AF107" s="90"/>
      <c r="AG107" s="90"/>
      <c r="AH107" s="90"/>
      <c r="AI107" s="90"/>
      <c r="AJ107" s="90"/>
      <c r="AK107" s="90"/>
      <c r="AL107" s="90"/>
      <c r="AM107" s="90"/>
      <c r="AN107" s="90"/>
      <c r="AO107" s="90"/>
      <c r="AP107" s="90"/>
      <c r="AQ107" s="90"/>
      <c r="AR107" s="90"/>
      <c r="AS107" s="90"/>
      <c r="AT107" s="90"/>
      <c r="AU107" s="90"/>
      <c r="AV107" s="90"/>
      <c r="AW107" s="90"/>
      <c r="AX107" s="90"/>
      <c r="AY107" s="90"/>
      <c r="AZ107" s="90"/>
    </row>
    <row r="108" spans="1:52" ht="13.5" customHeight="1" x14ac:dyDescent="0.35">
      <c r="A108" s="90"/>
      <c r="B108" s="90"/>
      <c r="C108" s="90"/>
      <c r="D108" s="179"/>
      <c r="E108" s="172"/>
      <c r="F108" s="172"/>
      <c r="G108" s="172"/>
      <c r="H108" s="172"/>
      <c r="I108" s="172"/>
      <c r="J108" s="172"/>
      <c r="K108" s="172"/>
      <c r="L108" s="182"/>
      <c r="M108" s="183"/>
      <c r="N108" s="172"/>
      <c r="O108" s="172"/>
      <c r="P108" s="182"/>
      <c r="Q108" s="183"/>
      <c r="R108" s="177"/>
      <c r="S108" s="137"/>
      <c r="T108" s="463"/>
      <c r="U108" s="464"/>
      <c r="V108" s="464"/>
      <c r="W108" s="464"/>
      <c r="X108" s="464"/>
      <c r="Y108" s="464"/>
      <c r="Z108" s="464"/>
      <c r="AA108" s="464"/>
      <c r="AB108" s="464"/>
      <c r="AC108" s="464"/>
      <c r="AD108" s="464"/>
      <c r="AE108" s="466"/>
      <c r="AF108" s="90"/>
      <c r="AG108" s="90"/>
      <c r="AH108" s="90"/>
      <c r="AI108" s="90"/>
      <c r="AJ108" s="90"/>
      <c r="AK108" s="90"/>
      <c r="AL108" s="90"/>
      <c r="AM108" s="90"/>
      <c r="AN108" s="90"/>
      <c r="AO108" s="90"/>
      <c r="AP108" s="90"/>
      <c r="AQ108" s="90"/>
      <c r="AR108" s="90"/>
      <c r="AS108" s="90"/>
      <c r="AT108" s="90"/>
      <c r="AU108" s="90"/>
      <c r="AV108" s="90"/>
      <c r="AW108" s="90"/>
      <c r="AX108" s="90"/>
      <c r="AY108" s="90"/>
      <c r="AZ108" s="90"/>
    </row>
    <row r="109" spans="1:52" x14ac:dyDescent="0.35">
      <c r="A109" s="90"/>
      <c r="B109" s="90"/>
      <c r="C109" s="90"/>
      <c r="D109" s="170"/>
      <c r="E109" s="171"/>
      <c r="F109" s="172"/>
      <c r="G109" s="172"/>
      <c r="H109" s="171" t="s">
        <v>158</v>
      </c>
      <c r="I109" s="172"/>
      <c r="J109" s="172"/>
      <c r="K109" s="172"/>
      <c r="L109" s="543">
        <f>SUM($H$94:$R$94)+(5*('Board Power'!F12))</f>
        <v>2889.42</v>
      </c>
      <c r="M109" s="544"/>
      <c r="N109" s="172" t="s">
        <v>192</v>
      </c>
      <c r="O109" s="172"/>
      <c r="P109" s="543">
        <f>SUM($H$95:$R$95)+(5*('Board Power'!F12))</f>
        <v>2334.3440000000001</v>
      </c>
      <c r="Q109" s="544"/>
      <c r="R109" s="177" t="s">
        <v>192</v>
      </c>
      <c r="S109" s="137"/>
      <c r="T109" s="463"/>
      <c r="U109" s="467" t="s">
        <v>348</v>
      </c>
      <c r="V109" s="464"/>
      <c r="W109" s="464"/>
      <c r="X109" s="464"/>
      <c r="Y109" s="539">
        <f>L109*3.412</f>
        <v>9858.7010399999999</v>
      </c>
      <c r="Z109" s="539"/>
      <c r="AA109" s="471" t="s">
        <v>349</v>
      </c>
      <c r="AB109" s="471"/>
      <c r="AC109" s="539">
        <f>P109*3.412</f>
        <v>7964.7817279999999</v>
      </c>
      <c r="AD109" s="539"/>
      <c r="AE109" s="177" t="s">
        <v>349</v>
      </c>
      <c r="AF109" s="90"/>
      <c r="AG109" s="90"/>
      <c r="AH109" s="90"/>
      <c r="AI109" s="90"/>
      <c r="AJ109" s="90"/>
      <c r="AK109" s="90"/>
      <c r="AL109" s="90"/>
      <c r="AM109" s="90"/>
      <c r="AN109" s="90"/>
      <c r="AO109" s="90"/>
      <c r="AP109" s="90"/>
      <c r="AQ109" s="90"/>
      <c r="AR109" s="90"/>
      <c r="AS109" s="90"/>
      <c r="AT109" s="90"/>
      <c r="AU109" s="90"/>
      <c r="AV109" s="90"/>
      <c r="AW109" s="90"/>
      <c r="AX109" s="90"/>
      <c r="AY109" s="90"/>
      <c r="AZ109" s="90"/>
    </row>
    <row r="110" spans="1:52" ht="12" customHeight="1" x14ac:dyDescent="0.35">
      <c r="A110" s="90"/>
      <c r="B110" s="90"/>
      <c r="C110" s="90"/>
      <c r="D110" s="170"/>
      <c r="E110" s="172"/>
      <c r="F110" s="172"/>
      <c r="G110" s="172"/>
      <c r="H110" s="172"/>
      <c r="I110" s="172"/>
      <c r="J110" s="172"/>
      <c r="K110" s="172"/>
      <c r="L110" s="172"/>
      <c r="M110" s="172"/>
      <c r="N110" s="172"/>
      <c r="O110" s="172"/>
      <c r="P110" s="172"/>
      <c r="Q110" s="172"/>
      <c r="R110" s="177"/>
      <c r="S110" s="137"/>
      <c r="T110" s="463"/>
      <c r="U110" s="464"/>
      <c r="V110" s="464"/>
      <c r="W110" s="464"/>
      <c r="X110" s="464"/>
      <c r="Y110" s="464"/>
      <c r="Z110" s="464"/>
      <c r="AA110" s="464"/>
      <c r="AB110" s="464"/>
      <c r="AC110" s="464"/>
      <c r="AD110" s="464"/>
      <c r="AE110" s="466"/>
      <c r="AF110" s="90"/>
      <c r="AG110" s="90"/>
      <c r="AH110" s="90"/>
      <c r="AI110" s="90"/>
      <c r="AJ110" s="90"/>
      <c r="AK110" s="90"/>
      <c r="AL110" s="90"/>
      <c r="AM110" s="90"/>
      <c r="AN110" s="90"/>
      <c r="AO110" s="90"/>
      <c r="AP110" s="90"/>
      <c r="AQ110" s="90"/>
      <c r="AR110" s="90"/>
      <c r="AS110" s="90"/>
      <c r="AT110" s="90"/>
      <c r="AU110" s="90"/>
      <c r="AV110" s="90"/>
      <c r="AW110" s="90"/>
      <c r="AX110" s="90"/>
      <c r="AY110" s="90"/>
      <c r="AZ110" s="90"/>
    </row>
    <row r="111" spans="1:52" ht="21.75" thickBot="1" x14ac:dyDescent="0.4">
      <c r="A111" s="90"/>
      <c r="B111" s="90"/>
      <c r="C111" s="90"/>
      <c r="D111" s="173"/>
      <c r="E111" s="244"/>
      <c r="F111" s="174"/>
      <c r="G111" s="174"/>
      <c r="H111" s="248" t="s">
        <v>199</v>
      </c>
      <c r="I111" s="248"/>
      <c r="J111" s="174"/>
      <c r="K111" s="174"/>
      <c r="L111" s="545">
        <f>L107-L109</f>
        <v>-369.42000000000007</v>
      </c>
      <c r="M111" s="542"/>
      <c r="N111" s="174" t="s">
        <v>192</v>
      </c>
      <c r="O111" s="174"/>
      <c r="P111" s="545">
        <f>P107-P109</f>
        <v>185.65599999999995</v>
      </c>
      <c r="Q111" s="542"/>
      <c r="R111" s="175" t="s">
        <v>192</v>
      </c>
      <c r="S111" s="137"/>
      <c r="T111" s="469"/>
      <c r="U111" s="248"/>
      <c r="V111" s="248"/>
      <c r="W111" s="470"/>
      <c r="X111" s="174"/>
      <c r="Y111" s="470"/>
      <c r="Z111" s="470"/>
      <c r="AA111" s="470"/>
      <c r="AB111" s="470"/>
      <c r="AC111" s="470"/>
      <c r="AD111" s="470"/>
      <c r="AE111" s="175"/>
      <c r="AF111" s="90"/>
      <c r="AG111" s="90"/>
      <c r="AH111" s="90"/>
      <c r="AI111" s="90"/>
      <c r="AJ111" s="90"/>
      <c r="AK111" s="90"/>
      <c r="AL111" s="90"/>
      <c r="AM111" s="90"/>
      <c r="AN111" s="90"/>
      <c r="AO111" s="90"/>
      <c r="AP111" s="90"/>
      <c r="AQ111" s="90"/>
      <c r="AR111" s="90"/>
      <c r="AS111" s="90"/>
      <c r="AT111" s="90"/>
      <c r="AU111" s="90"/>
      <c r="AV111" s="90"/>
      <c r="AW111" s="90"/>
      <c r="AX111" s="90"/>
      <c r="AY111" s="90"/>
      <c r="AZ111" s="90"/>
    </row>
    <row r="112" spans="1:52" ht="21.75" thickBot="1" x14ac:dyDescent="0.4">
      <c r="A112" s="90"/>
      <c r="B112" s="90"/>
      <c r="C112" s="90"/>
      <c r="D112" s="137"/>
      <c r="E112" s="137"/>
      <c r="F112" s="137"/>
      <c r="G112" s="137"/>
      <c r="H112" s="137"/>
      <c r="I112" s="137"/>
      <c r="J112" s="137"/>
      <c r="K112" s="137"/>
      <c r="L112" s="137"/>
      <c r="M112" s="137"/>
      <c r="N112" s="137"/>
      <c r="O112" s="137"/>
      <c r="P112" s="137"/>
      <c r="Q112" s="137"/>
      <c r="R112" s="137"/>
      <c r="S112" s="137"/>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row>
    <row r="113" spans="1:52" x14ac:dyDescent="0.35">
      <c r="A113" s="90"/>
      <c r="B113" s="90"/>
      <c r="C113" s="90"/>
      <c r="D113" s="168" t="s">
        <v>235</v>
      </c>
      <c r="E113" s="169"/>
      <c r="F113" s="169"/>
      <c r="G113" s="169"/>
      <c r="H113" s="169"/>
      <c r="I113" s="169"/>
      <c r="J113" s="169"/>
      <c r="K113" s="169"/>
      <c r="L113" s="546" t="s">
        <v>22</v>
      </c>
      <c r="M113" s="547"/>
      <c r="N113" s="169"/>
      <c r="O113" s="169"/>
      <c r="P113" s="546" t="s">
        <v>23</v>
      </c>
      <c r="Q113" s="547"/>
      <c r="R113" s="176"/>
      <c r="S113" s="137"/>
      <c r="T113" s="456" t="s">
        <v>350</v>
      </c>
      <c r="U113" s="460"/>
      <c r="V113" s="461"/>
      <c r="W113" s="459"/>
      <c r="X113" s="460"/>
      <c r="Y113" s="461"/>
      <c r="Z113" s="460"/>
      <c r="AA113" s="460"/>
      <c r="AB113" s="460"/>
      <c r="AC113" s="460"/>
      <c r="AD113" s="460"/>
      <c r="AE113" s="462"/>
      <c r="AF113" s="15"/>
      <c r="AG113" s="15"/>
      <c r="AH113" s="15"/>
      <c r="AI113" s="15"/>
      <c r="AJ113" s="15"/>
      <c r="AK113" s="15"/>
      <c r="AL113" s="15"/>
      <c r="AM113" s="15"/>
      <c r="AN113" s="15"/>
      <c r="AO113" s="15"/>
      <c r="AP113" s="15"/>
      <c r="AQ113" s="90"/>
      <c r="AR113" s="90"/>
      <c r="AS113" s="90"/>
      <c r="AT113" s="90"/>
      <c r="AU113" s="90"/>
      <c r="AV113" s="90"/>
      <c r="AW113" s="90"/>
      <c r="AX113" s="90"/>
      <c r="AY113" s="90"/>
      <c r="AZ113" s="90"/>
    </row>
    <row r="114" spans="1:52" ht="21.75" thickBot="1" x14ac:dyDescent="0.4">
      <c r="A114" s="90"/>
      <c r="B114" s="90"/>
      <c r="C114" s="90"/>
      <c r="D114" s="179"/>
      <c r="E114" s="172"/>
      <c r="F114" s="172"/>
      <c r="G114" s="172"/>
      <c r="H114" s="171" t="s">
        <v>198</v>
      </c>
      <c r="I114" s="172"/>
      <c r="J114" s="172"/>
      <c r="K114" s="172"/>
      <c r="L114" s="541">
        <f>SUM(AW55:AZ55)</f>
        <v>2240</v>
      </c>
      <c r="M114" s="542"/>
      <c r="N114" s="172" t="s">
        <v>192</v>
      </c>
      <c r="O114" s="172"/>
      <c r="P114" s="541">
        <f>SUM(AW55:AZ55)</f>
        <v>2240</v>
      </c>
      <c r="Q114" s="542"/>
      <c r="R114" s="177" t="s">
        <v>192</v>
      </c>
      <c r="S114" s="137"/>
      <c r="T114" s="463"/>
      <c r="U114" s="464"/>
      <c r="V114" s="464"/>
      <c r="W114" s="464"/>
      <c r="X114" s="464"/>
      <c r="Y114" s="464"/>
      <c r="Z114" s="464"/>
      <c r="AA114" s="464"/>
      <c r="AB114" s="464"/>
      <c r="AC114" s="464"/>
      <c r="AD114" s="464"/>
      <c r="AE114" s="466"/>
      <c r="AF114" s="15"/>
      <c r="AG114" s="15"/>
      <c r="AH114" s="15"/>
      <c r="AI114" s="15"/>
      <c r="AJ114" s="15"/>
      <c r="AK114" s="15"/>
      <c r="AL114" s="15"/>
      <c r="AM114" s="15"/>
      <c r="AN114" s="15"/>
      <c r="AO114" s="15"/>
      <c r="AP114" s="15"/>
      <c r="AQ114" s="90"/>
      <c r="AR114" s="90"/>
      <c r="AS114" s="90"/>
      <c r="AT114" s="90"/>
      <c r="AU114" s="90"/>
      <c r="AV114" s="90"/>
      <c r="AW114" s="90"/>
      <c r="AX114" s="90"/>
      <c r="AY114" s="90"/>
      <c r="AZ114" s="90"/>
    </row>
    <row r="115" spans="1:52" ht="13.5" customHeight="1" x14ac:dyDescent="0.35">
      <c r="A115" s="90"/>
      <c r="B115" s="90"/>
      <c r="C115" s="90"/>
      <c r="D115" s="179"/>
      <c r="E115" s="172"/>
      <c r="F115" s="172"/>
      <c r="G115" s="172"/>
      <c r="H115" s="172"/>
      <c r="I115" s="172"/>
      <c r="J115" s="172"/>
      <c r="K115" s="172"/>
      <c r="L115" s="182"/>
      <c r="M115" s="183"/>
      <c r="N115" s="172"/>
      <c r="O115" s="172"/>
      <c r="P115" s="182"/>
      <c r="Q115" s="183"/>
      <c r="R115" s="177"/>
      <c r="S115" s="137"/>
      <c r="T115" s="463"/>
      <c r="U115" s="464"/>
      <c r="V115" s="464"/>
      <c r="W115" s="464"/>
      <c r="X115" s="464"/>
      <c r="Y115" s="464"/>
      <c r="Z115" s="464"/>
      <c r="AA115" s="464"/>
      <c r="AB115" s="464"/>
      <c r="AC115" s="464"/>
      <c r="AD115" s="464"/>
      <c r="AE115" s="466"/>
      <c r="AF115" s="15"/>
      <c r="AG115" s="15"/>
      <c r="AH115" s="15"/>
      <c r="AI115" s="15"/>
      <c r="AJ115" s="15"/>
      <c r="AK115" s="15"/>
      <c r="AL115" s="15"/>
      <c r="AM115" s="15"/>
      <c r="AN115" s="15"/>
      <c r="AO115" s="15"/>
      <c r="AP115" s="15"/>
      <c r="AQ115" s="90"/>
      <c r="AR115" s="90"/>
      <c r="AS115" s="90"/>
      <c r="AT115" s="90"/>
      <c r="AU115" s="90"/>
      <c r="AV115" s="90"/>
      <c r="AW115" s="90"/>
      <c r="AX115" s="90"/>
      <c r="AY115" s="90"/>
      <c r="AZ115" s="90"/>
    </row>
    <row r="116" spans="1:52" x14ac:dyDescent="0.35">
      <c r="A116" s="90"/>
      <c r="B116" s="90"/>
      <c r="C116" s="90"/>
      <c r="D116" s="170"/>
      <c r="E116" s="171"/>
      <c r="F116" s="172"/>
      <c r="G116" s="172"/>
      <c r="H116" s="171" t="s">
        <v>158</v>
      </c>
      <c r="I116" s="172"/>
      <c r="J116" s="172"/>
      <c r="K116" s="172"/>
      <c r="L116" s="543">
        <f>SUM($H$94:$R$94)+(5*('Board Power'!F12))</f>
        <v>2889.42</v>
      </c>
      <c r="M116" s="544"/>
      <c r="N116" s="172" t="s">
        <v>192</v>
      </c>
      <c r="O116" s="172"/>
      <c r="P116" s="543">
        <f>SUM($H$95:$R$95)+(5*('Board Power'!F12))</f>
        <v>2334.3440000000001</v>
      </c>
      <c r="Q116" s="544"/>
      <c r="R116" s="177" t="s">
        <v>192</v>
      </c>
      <c r="S116" s="137"/>
      <c r="T116" s="463"/>
      <c r="U116" s="467" t="s">
        <v>348</v>
      </c>
      <c r="V116" s="464"/>
      <c r="W116" s="464"/>
      <c r="X116" s="464"/>
      <c r="Y116" s="539">
        <f>L116*3.412</f>
        <v>9858.7010399999999</v>
      </c>
      <c r="Z116" s="539"/>
      <c r="AA116" s="471" t="s">
        <v>349</v>
      </c>
      <c r="AB116" s="471"/>
      <c r="AC116" s="539">
        <f>P116*3.412</f>
        <v>7964.7817279999999</v>
      </c>
      <c r="AD116" s="539"/>
      <c r="AE116" s="177" t="s">
        <v>349</v>
      </c>
      <c r="AF116" s="90"/>
      <c r="AG116" s="90"/>
      <c r="AH116" s="90"/>
      <c r="AI116" s="90"/>
      <c r="AJ116" s="90"/>
      <c r="AK116" s="90"/>
      <c r="AL116" s="90"/>
      <c r="AM116" s="90"/>
      <c r="AN116" s="90"/>
      <c r="AO116" s="90"/>
      <c r="AP116" s="90"/>
      <c r="AQ116" s="90"/>
      <c r="AR116" s="90"/>
      <c r="AS116" s="90"/>
      <c r="AT116" s="90"/>
      <c r="AU116" s="90"/>
      <c r="AV116" s="90"/>
      <c r="AW116" s="90"/>
      <c r="AX116" s="90"/>
      <c r="AY116" s="90"/>
      <c r="AZ116" s="90"/>
    </row>
    <row r="117" spans="1:52" ht="11.25" customHeight="1" x14ac:dyDescent="0.35">
      <c r="A117" s="90"/>
      <c r="B117" s="90"/>
      <c r="C117" s="90"/>
      <c r="D117" s="170"/>
      <c r="E117" s="172"/>
      <c r="F117" s="172"/>
      <c r="G117" s="172"/>
      <c r="H117" s="172"/>
      <c r="I117" s="172"/>
      <c r="J117" s="172"/>
      <c r="K117" s="172"/>
      <c r="L117" s="172"/>
      <c r="M117" s="172"/>
      <c r="N117" s="172"/>
      <c r="O117" s="172"/>
      <c r="P117" s="172"/>
      <c r="Q117" s="172"/>
      <c r="R117" s="177"/>
      <c r="S117" s="137"/>
      <c r="T117" s="463"/>
      <c r="U117" s="464"/>
      <c r="V117" s="464"/>
      <c r="W117" s="464"/>
      <c r="X117" s="464"/>
      <c r="Y117" s="464"/>
      <c r="Z117" s="464"/>
      <c r="AA117" s="464"/>
      <c r="AB117" s="464"/>
      <c r="AC117" s="464"/>
      <c r="AD117" s="464"/>
      <c r="AE117" s="466"/>
      <c r="AF117" s="90"/>
      <c r="AG117" s="90"/>
      <c r="AH117" s="90"/>
      <c r="AI117" s="90"/>
      <c r="AJ117" s="90"/>
      <c r="AK117" s="90"/>
      <c r="AL117" s="90"/>
      <c r="AM117" s="90"/>
      <c r="AN117" s="90"/>
      <c r="AO117" s="90"/>
      <c r="AP117" s="90"/>
      <c r="AQ117" s="90"/>
      <c r="AR117" s="90"/>
      <c r="AS117" s="90"/>
      <c r="AT117" s="90"/>
      <c r="AU117" s="90"/>
      <c r="AV117" s="90"/>
      <c r="AW117" s="90"/>
      <c r="AX117" s="90"/>
      <c r="AY117" s="90"/>
      <c r="AZ117" s="90"/>
    </row>
    <row r="118" spans="1:52" ht="21.75" thickBot="1" x14ac:dyDescent="0.4">
      <c r="A118" s="90"/>
      <c r="B118" s="90"/>
      <c r="C118" s="90"/>
      <c r="D118" s="173"/>
      <c r="E118" s="244"/>
      <c r="F118" s="174"/>
      <c r="G118" s="174"/>
      <c r="H118" s="248" t="s">
        <v>199</v>
      </c>
      <c r="I118" s="248"/>
      <c r="J118" s="174"/>
      <c r="K118" s="174"/>
      <c r="L118" s="545">
        <f>L114-L116</f>
        <v>-649.42000000000007</v>
      </c>
      <c r="M118" s="542"/>
      <c r="N118" s="174" t="s">
        <v>192</v>
      </c>
      <c r="O118" s="174"/>
      <c r="P118" s="545">
        <f>P114-P116</f>
        <v>-94.344000000000051</v>
      </c>
      <c r="Q118" s="542"/>
      <c r="R118" s="175" t="s">
        <v>192</v>
      </c>
      <c r="S118" s="137"/>
      <c r="T118" s="469"/>
      <c r="U118" s="248"/>
      <c r="V118" s="248"/>
      <c r="W118" s="470"/>
      <c r="X118" s="174"/>
      <c r="Y118" s="470"/>
      <c r="Z118" s="470"/>
      <c r="AA118" s="470"/>
      <c r="AB118" s="470"/>
      <c r="AC118" s="470"/>
      <c r="AD118" s="470"/>
      <c r="AE118" s="175"/>
      <c r="AF118" s="90"/>
      <c r="AG118" s="90"/>
      <c r="AH118" s="90"/>
      <c r="AI118" s="90"/>
      <c r="AJ118" s="90"/>
      <c r="AK118" s="90"/>
      <c r="AL118" s="90"/>
      <c r="AM118" s="90"/>
      <c r="AN118" s="90"/>
      <c r="AO118" s="90"/>
      <c r="AP118" s="90"/>
      <c r="AQ118" s="90"/>
      <c r="AR118" s="90"/>
      <c r="AS118" s="90"/>
      <c r="AT118" s="90"/>
      <c r="AU118" s="90"/>
      <c r="AV118" s="90"/>
      <c r="AW118" s="90"/>
      <c r="AX118" s="90"/>
      <c r="AY118" s="90"/>
      <c r="AZ118" s="90"/>
    </row>
    <row r="119" spans="1:52" ht="21.75" thickBot="1" x14ac:dyDescent="0.4">
      <c r="A119" s="90"/>
      <c r="B119" s="90"/>
      <c r="C119" s="90"/>
      <c r="D119" s="137"/>
      <c r="E119" s="137"/>
      <c r="F119" s="137"/>
      <c r="G119" s="137"/>
      <c r="H119" s="137"/>
      <c r="I119" s="137"/>
      <c r="J119" s="137"/>
      <c r="K119" s="137"/>
      <c r="L119" s="137"/>
      <c r="M119" s="137"/>
      <c r="N119" s="137"/>
      <c r="O119" s="137"/>
      <c r="P119" s="137"/>
      <c r="Q119" s="137"/>
      <c r="R119" s="137"/>
      <c r="S119" s="137"/>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row>
    <row r="120" spans="1:52" x14ac:dyDescent="0.35">
      <c r="A120" s="90"/>
      <c r="B120" s="90"/>
      <c r="C120" s="90"/>
      <c r="D120" s="168" t="s">
        <v>236</v>
      </c>
      <c r="E120" s="169"/>
      <c r="F120" s="169"/>
      <c r="G120" s="169"/>
      <c r="H120" s="169"/>
      <c r="I120" s="169"/>
      <c r="J120" s="169"/>
      <c r="K120" s="169"/>
      <c r="L120" s="546" t="s">
        <v>22</v>
      </c>
      <c r="M120" s="547"/>
      <c r="N120" s="169"/>
      <c r="O120" s="169"/>
      <c r="P120" s="546" t="s">
        <v>23</v>
      </c>
      <c r="Q120" s="547"/>
      <c r="R120" s="176"/>
      <c r="S120" s="137"/>
      <c r="T120" s="456" t="s">
        <v>350</v>
      </c>
      <c r="U120" s="460"/>
      <c r="V120" s="461"/>
      <c r="W120" s="459"/>
      <c r="X120" s="460"/>
      <c r="Y120" s="461"/>
      <c r="Z120" s="460"/>
      <c r="AA120" s="460"/>
      <c r="AB120" s="460"/>
      <c r="AC120" s="460"/>
      <c r="AD120" s="460"/>
      <c r="AE120" s="462"/>
      <c r="AF120" s="90"/>
      <c r="AG120" s="90"/>
      <c r="AH120" s="90"/>
      <c r="AI120" s="90"/>
      <c r="AJ120" s="90"/>
      <c r="AK120" s="90"/>
      <c r="AL120" s="90"/>
      <c r="AM120" s="90"/>
      <c r="AN120" s="90"/>
      <c r="AO120" s="90"/>
      <c r="AP120" s="90"/>
      <c r="AQ120" s="90"/>
      <c r="AR120" s="90"/>
      <c r="AS120" s="90"/>
      <c r="AT120" s="90"/>
      <c r="AU120" s="90"/>
      <c r="AV120" s="90"/>
      <c r="AW120" s="90"/>
      <c r="AX120" s="90"/>
      <c r="AY120" s="90"/>
      <c r="AZ120" s="90"/>
    </row>
    <row r="121" spans="1:52" x14ac:dyDescent="0.35">
      <c r="A121" s="90"/>
      <c r="B121" s="90"/>
      <c r="C121" s="90"/>
      <c r="D121" s="179"/>
      <c r="E121" s="172"/>
      <c r="F121" s="172"/>
      <c r="G121" s="172"/>
      <c r="H121" s="171" t="s">
        <v>198</v>
      </c>
      <c r="I121" s="172"/>
      <c r="J121" s="172"/>
      <c r="K121" s="172"/>
      <c r="L121" s="543">
        <f>SUM(AW56:AZ56)</f>
        <v>1960</v>
      </c>
      <c r="M121" s="544"/>
      <c r="N121" s="172" t="s">
        <v>192</v>
      </c>
      <c r="O121" s="172"/>
      <c r="P121" s="543">
        <f>SUM(AW56:AZ56)</f>
        <v>1960</v>
      </c>
      <c r="Q121" s="544"/>
      <c r="R121" s="177" t="s">
        <v>192</v>
      </c>
      <c r="S121" s="137"/>
      <c r="T121" s="463"/>
      <c r="U121" s="464"/>
      <c r="V121" s="464"/>
      <c r="W121" s="464"/>
      <c r="X121" s="464"/>
      <c r="Y121" s="464"/>
      <c r="Z121" s="464"/>
      <c r="AA121" s="464"/>
      <c r="AB121" s="464"/>
      <c r="AC121" s="464"/>
      <c r="AD121" s="464"/>
      <c r="AE121" s="466"/>
      <c r="AF121" s="90"/>
      <c r="AG121" s="90"/>
      <c r="AH121" s="90"/>
      <c r="AI121" s="90"/>
      <c r="AJ121" s="90"/>
      <c r="AK121" s="90"/>
      <c r="AL121" s="90"/>
      <c r="AM121" s="90"/>
      <c r="AN121" s="90"/>
      <c r="AO121" s="90"/>
      <c r="AP121" s="90"/>
      <c r="AQ121" s="90"/>
      <c r="AR121" s="90"/>
      <c r="AS121" s="90"/>
      <c r="AT121" s="90"/>
      <c r="AU121" s="90"/>
      <c r="AV121" s="90"/>
      <c r="AW121" s="90"/>
      <c r="AX121" s="90"/>
      <c r="AY121" s="90"/>
      <c r="AZ121" s="90"/>
    </row>
    <row r="122" spans="1:52" ht="12.75" customHeight="1" x14ac:dyDescent="0.35">
      <c r="A122" s="90"/>
      <c r="B122" s="90"/>
      <c r="C122" s="90"/>
      <c r="D122" s="179"/>
      <c r="E122" s="172"/>
      <c r="F122" s="172"/>
      <c r="G122" s="172"/>
      <c r="H122" s="172"/>
      <c r="I122" s="172"/>
      <c r="J122" s="172"/>
      <c r="K122" s="172"/>
      <c r="L122" s="182"/>
      <c r="M122" s="183"/>
      <c r="N122" s="172"/>
      <c r="O122" s="172"/>
      <c r="P122" s="182"/>
      <c r="Q122" s="183"/>
      <c r="R122" s="177"/>
      <c r="S122" s="137"/>
      <c r="T122" s="463"/>
      <c r="U122" s="464"/>
      <c r="V122" s="464"/>
      <c r="W122" s="464"/>
      <c r="X122" s="464"/>
      <c r="Y122" s="464"/>
      <c r="Z122" s="464"/>
      <c r="AA122" s="464"/>
      <c r="AB122" s="464"/>
      <c r="AC122" s="464"/>
      <c r="AD122" s="464"/>
      <c r="AE122" s="466"/>
      <c r="AF122" s="90"/>
      <c r="AG122" s="90"/>
      <c r="AH122" s="90"/>
      <c r="AI122" s="90"/>
      <c r="AJ122" s="90"/>
      <c r="AK122" s="90"/>
      <c r="AL122" s="90"/>
      <c r="AM122" s="90"/>
      <c r="AN122" s="90"/>
      <c r="AO122" s="90"/>
      <c r="AP122" s="90"/>
      <c r="AQ122" s="90"/>
      <c r="AR122" s="90"/>
      <c r="AS122" s="90"/>
      <c r="AT122" s="90"/>
      <c r="AU122" s="90"/>
      <c r="AV122" s="90"/>
      <c r="AW122" s="90"/>
      <c r="AX122" s="90"/>
      <c r="AY122" s="90"/>
      <c r="AZ122" s="90"/>
    </row>
    <row r="123" spans="1:52" x14ac:dyDescent="0.35">
      <c r="A123" s="90"/>
      <c r="B123" s="90"/>
      <c r="C123" s="90"/>
      <c r="D123" s="170"/>
      <c r="E123" s="171"/>
      <c r="F123" s="172"/>
      <c r="G123" s="172"/>
      <c r="H123" s="171" t="s">
        <v>158</v>
      </c>
      <c r="I123" s="172"/>
      <c r="J123" s="172"/>
      <c r="K123" s="172"/>
      <c r="L123" s="543">
        <f>SUM($H$94:$R$94)+(5*('Board Power'!F12))</f>
        <v>2889.42</v>
      </c>
      <c r="M123" s="544"/>
      <c r="N123" s="172" t="s">
        <v>192</v>
      </c>
      <c r="O123" s="172"/>
      <c r="P123" s="543">
        <f>SUM($H$95:$R$95)+(5*('Board Power'!F12))</f>
        <v>2334.3440000000001</v>
      </c>
      <c r="Q123" s="544"/>
      <c r="R123" s="177" t="s">
        <v>192</v>
      </c>
      <c r="S123" s="90"/>
      <c r="T123" s="463"/>
      <c r="U123" s="467" t="s">
        <v>348</v>
      </c>
      <c r="V123" s="464"/>
      <c r="W123" s="464"/>
      <c r="X123" s="464"/>
      <c r="Y123" s="539">
        <f>L123*V120</f>
        <v>0</v>
      </c>
      <c r="Z123" s="539"/>
      <c r="AA123" s="471" t="s">
        <v>347</v>
      </c>
      <c r="AB123" s="471"/>
      <c r="AC123" s="539">
        <f>P123*V120</f>
        <v>0</v>
      </c>
      <c r="AD123" s="539"/>
      <c r="AE123" s="177" t="s">
        <v>347</v>
      </c>
      <c r="AF123" s="90"/>
      <c r="AG123" s="90"/>
      <c r="AH123" s="90"/>
      <c r="AI123" s="90"/>
      <c r="AJ123" s="90"/>
      <c r="AK123" s="90"/>
      <c r="AL123" s="90"/>
      <c r="AM123" s="90"/>
      <c r="AN123" s="90"/>
      <c r="AO123" s="90"/>
      <c r="AP123" s="90"/>
      <c r="AQ123" s="90"/>
      <c r="AR123" s="90"/>
      <c r="AS123" s="90"/>
      <c r="AT123" s="90"/>
      <c r="AU123" s="90"/>
      <c r="AV123" s="90"/>
      <c r="AW123" s="90"/>
      <c r="AX123" s="90"/>
      <c r="AY123" s="90"/>
      <c r="AZ123" s="90"/>
    </row>
    <row r="124" spans="1:52" ht="12" customHeight="1" x14ac:dyDescent="0.35">
      <c r="A124" s="90"/>
      <c r="B124" s="90"/>
      <c r="C124" s="90"/>
      <c r="D124" s="170"/>
      <c r="E124" s="172"/>
      <c r="F124" s="172"/>
      <c r="G124" s="172"/>
      <c r="H124" s="172"/>
      <c r="I124" s="172"/>
      <c r="J124" s="172"/>
      <c r="K124" s="172"/>
      <c r="L124" s="172"/>
      <c r="M124" s="172"/>
      <c r="N124" s="172"/>
      <c r="O124" s="172"/>
      <c r="P124" s="172"/>
      <c r="Q124" s="172"/>
      <c r="R124" s="177"/>
      <c r="S124" s="90"/>
      <c r="T124" s="463"/>
      <c r="U124" s="464"/>
      <c r="V124" s="464"/>
      <c r="W124" s="464"/>
      <c r="X124" s="464"/>
      <c r="Y124" s="464"/>
      <c r="Z124" s="464"/>
      <c r="AA124" s="464"/>
      <c r="AB124" s="464"/>
      <c r="AC124" s="464"/>
      <c r="AD124" s="464"/>
      <c r="AE124" s="466"/>
      <c r="AF124" s="90"/>
      <c r="AG124" s="90"/>
      <c r="AH124" s="90"/>
      <c r="AI124" s="90"/>
      <c r="AJ124" s="90"/>
      <c r="AK124" s="90"/>
      <c r="AL124" s="90"/>
      <c r="AM124" s="90"/>
      <c r="AN124" s="90"/>
      <c r="AO124" s="90"/>
      <c r="AP124" s="90"/>
      <c r="AQ124" s="90"/>
      <c r="AR124" s="90"/>
      <c r="AS124" s="90"/>
      <c r="AT124" s="90"/>
      <c r="AU124" s="90"/>
      <c r="AV124" s="90"/>
      <c r="AW124" s="90"/>
      <c r="AX124" s="90"/>
      <c r="AY124" s="90"/>
      <c r="AZ124" s="90"/>
    </row>
    <row r="125" spans="1:52" ht="21.75" thickBot="1" x14ac:dyDescent="0.4">
      <c r="A125" s="90"/>
      <c r="B125" s="90"/>
      <c r="C125" s="90"/>
      <c r="D125" s="173"/>
      <c r="E125" s="244"/>
      <c r="F125" s="174"/>
      <c r="G125" s="174"/>
      <c r="H125" s="248" t="s">
        <v>199</v>
      </c>
      <c r="I125" s="248"/>
      <c r="J125" s="174"/>
      <c r="K125" s="174"/>
      <c r="L125" s="545">
        <f>L121-L123</f>
        <v>-929.42000000000007</v>
      </c>
      <c r="M125" s="542"/>
      <c r="N125" s="174" t="s">
        <v>192</v>
      </c>
      <c r="O125" s="174"/>
      <c r="P125" s="545">
        <f>P121-P123</f>
        <v>-374.34400000000005</v>
      </c>
      <c r="Q125" s="542"/>
      <c r="R125" s="175" t="s">
        <v>192</v>
      </c>
      <c r="S125" s="90"/>
      <c r="T125" s="469"/>
      <c r="U125" s="248"/>
      <c r="V125" s="248"/>
      <c r="W125" s="470"/>
      <c r="X125" s="174"/>
      <c r="Y125" s="470"/>
      <c r="Z125" s="470"/>
      <c r="AA125" s="470"/>
      <c r="AB125" s="470"/>
      <c r="AC125" s="470"/>
      <c r="AD125" s="470"/>
      <c r="AE125" s="175"/>
      <c r="AF125" s="90"/>
      <c r="AG125" s="90"/>
      <c r="AH125" s="90"/>
      <c r="AI125" s="90"/>
      <c r="AJ125" s="90"/>
      <c r="AK125" s="90"/>
      <c r="AL125" s="90"/>
      <c r="AM125" s="90"/>
      <c r="AN125" s="90"/>
      <c r="AO125" s="90"/>
      <c r="AP125" s="90"/>
      <c r="AQ125" s="90"/>
      <c r="AR125" s="90"/>
      <c r="AS125" s="90"/>
      <c r="AT125" s="90"/>
      <c r="AU125" s="90"/>
      <c r="AV125" s="90"/>
      <c r="AW125" s="90"/>
      <c r="AX125" s="90"/>
      <c r="AY125" s="90"/>
      <c r="AZ125" s="90"/>
    </row>
    <row r="126" spans="1:52" x14ac:dyDescent="0.35">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row>
    <row r="127" spans="1:52" x14ac:dyDescent="0.35">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row>
    <row r="128" spans="1:52" x14ac:dyDescent="0.35">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row>
    <row r="129" spans="1:52" x14ac:dyDescent="0.3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row>
    <row r="130" spans="1:52" x14ac:dyDescent="0.3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row>
    <row r="131" spans="1:52" x14ac:dyDescent="0.3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row>
    <row r="132" spans="1:52" x14ac:dyDescent="0.3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row>
    <row r="133" spans="1:52" x14ac:dyDescent="0.3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row>
    <row r="134" spans="1:52" x14ac:dyDescent="0.3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row>
    <row r="135" spans="1:52" x14ac:dyDescent="0.3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row>
    <row r="136" spans="1:52" x14ac:dyDescent="0.3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row>
    <row r="137" spans="1:52" x14ac:dyDescent="0.3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row>
    <row r="138" spans="1:52" x14ac:dyDescent="0.3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row>
    <row r="139" spans="1:52" x14ac:dyDescent="0.3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row>
    <row r="140" spans="1:52" x14ac:dyDescent="0.3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row>
  </sheetData>
  <mergeCells count="70">
    <mergeCell ref="D94:G94"/>
    <mergeCell ref="D95:G95"/>
    <mergeCell ref="H64:R65"/>
    <mergeCell ref="D73:E74"/>
    <mergeCell ref="F73:G73"/>
    <mergeCell ref="H73:R74"/>
    <mergeCell ref="D84:E85"/>
    <mergeCell ref="F84:G84"/>
    <mergeCell ref="H84:R85"/>
    <mergeCell ref="H8:I8"/>
    <mergeCell ref="J8:K8"/>
    <mergeCell ref="L8:M8"/>
    <mergeCell ref="N8:O8"/>
    <mergeCell ref="D18:G18"/>
    <mergeCell ref="H15:I15"/>
    <mergeCell ref="J15:K15"/>
    <mergeCell ref="L15:M15"/>
    <mergeCell ref="N15:O15"/>
    <mergeCell ref="D19:G19"/>
    <mergeCell ref="L104:M104"/>
    <mergeCell ref="P104:Q104"/>
    <mergeCell ref="L102:M102"/>
    <mergeCell ref="P102:Q102"/>
    <mergeCell ref="D47:E48"/>
    <mergeCell ref="F47:G47"/>
    <mergeCell ref="H47:R48"/>
    <mergeCell ref="D21:E22"/>
    <mergeCell ref="F21:G21"/>
    <mergeCell ref="H21:R22"/>
    <mergeCell ref="D30:E31"/>
    <mergeCell ref="F30:G30"/>
    <mergeCell ref="H30:R31"/>
    <mergeCell ref="D64:E65"/>
    <mergeCell ref="F64:G64"/>
    <mergeCell ref="L106:M106"/>
    <mergeCell ref="P106:Q106"/>
    <mergeCell ref="L100:M100"/>
    <mergeCell ref="P100:Q100"/>
    <mergeCell ref="L99:M99"/>
    <mergeCell ref="P99:Q99"/>
    <mergeCell ref="L125:M125"/>
    <mergeCell ref="P125:Q125"/>
    <mergeCell ref="L120:M120"/>
    <mergeCell ref="P120:Q120"/>
    <mergeCell ref="L123:M123"/>
    <mergeCell ref="P123:Q123"/>
    <mergeCell ref="L107:M107"/>
    <mergeCell ref="P107:Q107"/>
    <mergeCell ref="L114:M114"/>
    <mergeCell ref="P114:Q114"/>
    <mergeCell ref="L121:M121"/>
    <mergeCell ref="P121:Q121"/>
    <mergeCell ref="L118:M118"/>
    <mergeCell ref="P118:Q118"/>
    <mergeCell ref="L113:M113"/>
    <mergeCell ref="P113:Q113"/>
    <mergeCell ref="L116:M116"/>
    <mergeCell ref="P116:Q116"/>
    <mergeCell ref="L111:M111"/>
    <mergeCell ref="P111:Q111"/>
    <mergeCell ref="L109:M109"/>
    <mergeCell ref="P109:Q109"/>
    <mergeCell ref="Y123:Z123"/>
    <mergeCell ref="AC123:AD123"/>
    <mergeCell ref="Y102:Z102"/>
    <mergeCell ref="AC102:AD102"/>
    <mergeCell ref="Y109:Z109"/>
    <mergeCell ref="AC109:AD109"/>
    <mergeCell ref="Y116:Z116"/>
    <mergeCell ref="AC116:AD116"/>
  </mergeCells>
  <conditionalFormatting sqref="L104:M104">
    <cfRule type="cellIs" dxfId="19" priority="21" operator="lessThan">
      <formula>1</formula>
    </cfRule>
    <cfRule type="cellIs" dxfId="18" priority="22" operator="greaterThan">
      <formula>0</formula>
    </cfRule>
    <cfRule type="colorScale" priority="27">
      <colorScale>
        <cfvo type="min"/>
        <cfvo type="percentile" val="50"/>
        <cfvo type="max"/>
        <color rgb="FFF8696B"/>
        <color rgb="FFFFEB84"/>
        <color rgb="FF63BE7B"/>
      </colorScale>
    </cfRule>
    <cfRule type="cellIs" dxfId="17" priority="29" operator="lessThan">
      <formula>0</formula>
    </cfRule>
  </conditionalFormatting>
  <conditionalFormatting sqref="P104:Q104">
    <cfRule type="cellIs" dxfId="16" priority="19" operator="lessThan">
      <formula>-1</formula>
    </cfRule>
    <cfRule type="cellIs" dxfId="15" priority="20" operator="greaterThan">
      <formula>0</formula>
    </cfRule>
  </conditionalFormatting>
  <conditionalFormatting sqref="L111:M111">
    <cfRule type="cellIs" dxfId="14" priority="15" operator="lessThan">
      <formula>1</formula>
    </cfRule>
    <cfRule type="cellIs" dxfId="13" priority="16" operator="greaterThan">
      <formula>0</formula>
    </cfRule>
    <cfRule type="colorScale" priority="17">
      <colorScale>
        <cfvo type="min"/>
        <cfvo type="percentile" val="50"/>
        <cfvo type="max"/>
        <color rgb="FFF8696B"/>
        <color rgb="FFFFEB84"/>
        <color rgb="FF63BE7B"/>
      </colorScale>
    </cfRule>
    <cfRule type="cellIs" dxfId="12" priority="18" operator="lessThan">
      <formula>0</formula>
    </cfRule>
  </conditionalFormatting>
  <conditionalFormatting sqref="P111:Q111">
    <cfRule type="cellIs" dxfId="11" priority="13" operator="lessThan">
      <formula>-1</formula>
    </cfRule>
    <cfRule type="cellIs" dxfId="10" priority="14" operator="greaterThan">
      <formula>0</formula>
    </cfRule>
  </conditionalFormatting>
  <conditionalFormatting sqref="L118:M118">
    <cfRule type="cellIs" dxfId="9" priority="9" operator="lessThan">
      <formula>1</formula>
    </cfRule>
    <cfRule type="cellIs" dxfId="8" priority="10" operator="greaterThan">
      <formula>0</formula>
    </cfRule>
    <cfRule type="colorScale" priority="11">
      <colorScale>
        <cfvo type="min"/>
        <cfvo type="percentile" val="50"/>
        <cfvo type="max"/>
        <color rgb="FFF8696B"/>
        <color rgb="FFFFEB84"/>
        <color rgb="FF63BE7B"/>
      </colorScale>
    </cfRule>
    <cfRule type="cellIs" dxfId="7" priority="12" operator="lessThan">
      <formula>0</formula>
    </cfRule>
  </conditionalFormatting>
  <conditionalFormatting sqref="P118:Q118">
    <cfRule type="cellIs" dxfId="6" priority="7" operator="lessThan">
      <formula>-1</formula>
    </cfRule>
    <cfRule type="cellIs" dxfId="5" priority="8" operator="greaterThan">
      <formula>0</formula>
    </cfRule>
  </conditionalFormatting>
  <conditionalFormatting sqref="L125:M125">
    <cfRule type="cellIs" dxfId="4" priority="3" operator="lessThan">
      <formula>1</formula>
    </cfRule>
    <cfRule type="cellIs" dxfId="3" priority="4" operator="greaterThan">
      <formula>0</formula>
    </cfRule>
    <cfRule type="colorScale" priority="5">
      <colorScale>
        <cfvo type="min"/>
        <cfvo type="percentile" val="50"/>
        <cfvo type="max"/>
        <color rgb="FFF8696B"/>
        <color rgb="FFFFEB84"/>
        <color rgb="FF63BE7B"/>
      </colorScale>
    </cfRule>
    <cfRule type="cellIs" dxfId="2" priority="6" operator="lessThan">
      <formula>0</formula>
    </cfRule>
  </conditionalFormatting>
  <conditionalFormatting sqref="P125:Q125">
    <cfRule type="cellIs" dxfId="1" priority="1" operator="lessThan">
      <formula>-1</formula>
    </cfRule>
    <cfRule type="cellIs" dxfId="0" priority="2" operator="greaterThan">
      <formula>0</formula>
    </cfRule>
  </conditionalFormatting>
  <dataValidations count="5">
    <dataValidation type="list" showInputMessage="1" showErrorMessage="1" sqref="O5:R5 H5:J5" xr:uid="{00000000-0002-0000-0100-000000000000}">
      <formula1>$AT$32:$AT$41</formula1>
    </dataValidation>
    <dataValidation type="list" allowBlank="1" showInputMessage="1" showErrorMessage="1" sqref="K5" xr:uid="{00000000-0002-0000-0100-000001000000}">
      <formula1>$AT$32:$AT$41</formula1>
    </dataValidation>
    <dataValidation type="list" showInputMessage="1" showErrorMessage="1" sqref="H8 L8 N8" xr:uid="{00000000-0002-0000-0100-000002000000}">
      <formula1>$AT$47:$AT$51</formula1>
    </dataValidation>
    <dataValidation type="list" allowBlank="1" showInputMessage="1" showErrorMessage="1" sqref="J8" xr:uid="{00000000-0002-0000-0100-000003000000}">
      <formula1>$AT$47:$AT$51</formula1>
    </dataValidation>
    <dataValidation type="list" showInputMessage="1" showErrorMessage="1" sqref="L5:N5" xr:uid="{00000000-0002-0000-0100-000004000000}">
      <formula1>$AT$43:$AT$45</formula1>
    </dataValidation>
  </dataValidations>
  <pageMargins left="0.25" right="0.25" top="0.75" bottom="0.75" header="0.3" footer="0.3"/>
  <pageSetup scale="1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72"/>
  <sheetViews>
    <sheetView topLeftCell="A47" zoomScale="70" zoomScaleNormal="70" workbookViewId="0">
      <selection activeCell="J57" sqref="J57"/>
    </sheetView>
  </sheetViews>
  <sheetFormatPr defaultRowHeight="15" x14ac:dyDescent="0.25"/>
  <cols>
    <col min="2" max="2" width="40.7109375" customWidth="1"/>
    <col min="3" max="3" width="50.42578125" customWidth="1"/>
    <col min="4" max="4" width="15.85546875" customWidth="1"/>
    <col min="5" max="5" width="14.42578125" customWidth="1"/>
    <col min="6" max="6" width="15.28515625" customWidth="1"/>
    <col min="7" max="7" width="14.140625" customWidth="1"/>
    <col min="8" max="8" width="13.42578125" customWidth="1"/>
    <col min="9" max="9" width="12" customWidth="1"/>
    <col min="10" max="10" width="21.7109375" customWidth="1"/>
    <col min="11" max="11" width="10.42578125" customWidth="1"/>
    <col min="12" max="12" width="5.7109375" customWidth="1"/>
    <col min="13" max="13" width="6.28515625" customWidth="1"/>
  </cols>
  <sheetData>
    <row r="2" spans="2:11" ht="15.75" x14ac:dyDescent="0.25">
      <c r="B2" s="21"/>
      <c r="C2" s="580" t="s">
        <v>31</v>
      </c>
      <c r="D2" s="580"/>
      <c r="E2" s="580"/>
      <c r="F2" s="580"/>
      <c r="G2" s="580"/>
      <c r="H2" s="580"/>
      <c r="I2" s="580"/>
    </row>
    <row r="3" spans="2:11" ht="15.75" thickBot="1" x14ac:dyDescent="0.3">
      <c r="B3" s="21"/>
      <c r="C3" s="22"/>
      <c r="D3" s="22"/>
      <c r="E3" s="22"/>
      <c r="F3" s="22"/>
      <c r="G3" s="22"/>
      <c r="H3" s="22"/>
      <c r="I3" s="22"/>
      <c r="J3" s="22"/>
      <c r="K3" s="22"/>
    </row>
    <row r="4" spans="2:11" ht="27" customHeight="1" thickBot="1" x14ac:dyDescent="0.3">
      <c r="B4" s="21"/>
      <c r="C4" s="400" t="s">
        <v>273</v>
      </c>
      <c r="D4" s="401"/>
      <c r="E4" s="401"/>
      <c r="F4" s="401"/>
      <c r="G4" s="401"/>
      <c r="H4" s="401"/>
      <c r="I4" s="402"/>
      <c r="J4" s="22"/>
      <c r="K4" s="22"/>
    </row>
    <row r="5" spans="2:11" ht="30" customHeight="1" thickBot="1" x14ac:dyDescent="0.3">
      <c r="B5" s="23" t="s">
        <v>32</v>
      </c>
      <c r="C5" s="24" t="s">
        <v>283</v>
      </c>
      <c r="D5" s="25" t="s">
        <v>34</v>
      </c>
      <c r="E5" s="25" t="s">
        <v>35</v>
      </c>
      <c r="F5" s="25" t="s">
        <v>36</v>
      </c>
      <c r="G5" s="25" t="s">
        <v>37</v>
      </c>
      <c r="H5" s="25" t="s">
        <v>38</v>
      </c>
      <c r="I5" s="26" t="s">
        <v>39</v>
      </c>
      <c r="J5" s="27"/>
    </row>
    <row r="6" spans="2:11" ht="15.95" customHeight="1" x14ac:dyDescent="0.25">
      <c r="B6" s="407" t="s">
        <v>274</v>
      </c>
      <c r="C6" s="33" t="s">
        <v>268</v>
      </c>
      <c r="D6" s="34" t="s">
        <v>10</v>
      </c>
      <c r="E6" s="35" t="s">
        <v>47</v>
      </c>
      <c r="F6" s="34" t="s">
        <v>10</v>
      </c>
      <c r="G6" s="36">
        <v>1.3</v>
      </c>
      <c r="H6" s="36">
        <v>1.05</v>
      </c>
      <c r="I6" s="37" t="s">
        <v>44</v>
      </c>
      <c r="J6" s="27"/>
    </row>
    <row r="7" spans="2:11" ht="15.95" customHeight="1" x14ac:dyDescent="0.25">
      <c r="B7" s="32" t="s">
        <v>275</v>
      </c>
      <c r="C7" s="38" t="s">
        <v>49</v>
      </c>
      <c r="D7" s="36" t="s">
        <v>42</v>
      </c>
      <c r="E7" s="39" t="s">
        <v>50</v>
      </c>
      <c r="F7" s="36" t="s">
        <v>51</v>
      </c>
      <c r="G7" s="40">
        <v>0.85</v>
      </c>
      <c r="H7" s="40">
        <v>0.55000000000000004</v>
      </c>
      <c r="I7" s="37" t="s">
        <v>44</v>
      </c>
      <c r="J7" s="27"/>
    </row>
    <row r="8" spans="2:11" ht="15.95" customHeight="1" x14ac:dyDescent="0.25">
      <c r="B8" s="32" t="s">
        <v>276</v>
      </c>
      <c r="C8" s="38" t="s">
        <v>53</v>
      </c>
      <c r="D8" s="36" t="s">
        <v>54</v>
      </c>
      <c r="E8" s="39" t="s">
        <v>55</v>
      </c>
      <c r="F8" s="36" t="s">
        <v>43</v>
      </c>
      <c r="G8" s="36">
        <v>1</v>
      </c>
      <c r="H8" s="36">
        <v>0.55000000000000004</v>
      </c>
      <c r="I8" s="37" t="s">
        <v>44</v>
      </c>
      <c r="J8" s="27"/>
    </row>
    <row r="9" spans="2:11" ht="15.95" customHeight="1" x14ac:dyDescent="0.25">
      <c r="B9" s="32" t="s">
        <v>277</v>
      </c>
      <c r="C9" s="38" t="s">
        <v>57</v>
      </c>
      <c r="D9" s="36" t="s">
        <v>54</v>
      </c>
      <c r="E9" s="39" t="s">
        <v>58</v>
      </c>
      <c r="F9" s="36" t="s">
        <v>59</v>
      </c>
      <c r="G9" s="36">
        <v>1.2</v>
      </c>
      <c r="H9" s="36">
        <v>0.6</v>
      </c>
      <c r="I9" s="37" t="s">
        <v>44</v>
      </c>
      <c r="J9" s="27"/>
    </row>
    <row r="10" spans="2:11" ht="15.95" customHeight="1" x14ac:dyDescent="0.25">
      <c r="B10" s="32" t="s">
        <v>278</v>
      </c>
      <c r="C10" s="38" t="s">
        <v>61</v>
      </c>
      <c r="D10" s="36" t="s">
        <v>54</v>
      </c>
      <c r="E10" s="39" t="s">
        <v>55</v>
      </c>
      <c r="F10" s="36" t="s">
        <v>43</v>
      </c>
      <c r="G10" s="36">
        <v>1</v>
      </c>
      <c r="H10" s="36">
        <v>0.8</v>
      </c>
      <c r="I10" s="37" t="s">
        <v>62</v>
      </c>
      <c r="J10" s="27"/>
    </row>
    <row r="11" spans="2:11" ht="15.75" thickBot="1" x14ac:dyDescent="0.3">
      <c r="B11" s="41" t="s">
        <v>279</v>
      </c>
      <c r="C11" s="429" t="s">
        <v>64</v>
      </c>
      <c r="D11" s="430" t="s">
        <v>54</v>
      </c>
      <c r="E11" s="431" t="s">
        <v>55</v>
      </c>
      <c r="F11" s="430" t="s">
        <v>65</v>
      </c>
      <c r="G11" s="430">
        <v>1</v>
      </c>
      <c r="H11" s="430">
        <v>0.8</v>
      </c>
      <c r="I11" s="42" t="s">
        <v>62</v>
      </c>
      <c r="J11" s="44"/>
      <c r="K11" s="44"/>
    </row>
    <row r="12" spans="2:11" ht="15.75" x14ac:dyDescent="0.25">
      <c r="B12" s="43" t="s">
        <v>72</v>
      </c>
      <c r="C12" s="44"/>
      <c r="D12" s="44"/>
      <c r="E12" s="44"/>
      <c r="F12" s="44"/>
      <c r="G12" s="329"/>
      <c r="H12" s="329"/>
      <c r="I12" s="44"/>
      <c r="J12" s="45"/>
      <c r="K12" s="44"/>
    </row>
    <row r="13" spans="2:11" ht="24" thickBot="1" x14ac:dyDescent="0.4">
      <c r="B13" s="21"/>
      <c r="C13" s="45"/>
      <c r="D13" s="45"/>
      <c r="E13" s="45"/>
      <c r="F13" s="45"/>
      <c r="G13" s="45"/>
      <c r="H13" s="45"/>
      <c r="I13" s="45"/>
      <c r="J13" s="46"/>
      <c r="K13" s="46"/>
    </row>
    <row r="14" spans="2:11" ht="32.25" customHeight="1" thickBot="1" x14ac:dyDescent="0.3">
      <c r="B14" s="21"/>
      <c r="C14" s="403" t="s">
        <v>73</v>
      </c>
      <c r="D14" s="404"/>
      <c r="E14" s="404"/>
      <c r="F14" s="404"/>
      <c r="G14" s="404"/>
      <c r="H14" s="404"/>
      <c r="I14" s="405"/>
      <c r="J14" s="47" t="s">
        <v>75</v>
      </c>
    </row>
    <row r="15" spans="2:11" ht="34.5" customHeight="1" thickBot="1" x14ac:dyDescent="0.3">
      <c r="B15" s="23" t="str">
        <f>B5</f>
        <v>PEC</v>
      </c>
      <c r="C15" s="24" t="s">
        <v>322</v>
      </c>
      <c r="D15" s="25" t="s">
        <v>34</v>
      </c>
      <c r="E15" s="25" t="s">
        <v>35</v>
      </c>
      <c r="F15" s="25" t="s">
        <v>36</v>
      </c>
      <c r="G15" s="25" t="s">
        <v>37</v>
      </c>
      <c r="H15" s="25" t="s">
        <v>74</v>
      </c>
      <c r="I15" s="26" t="s">
        <v>39</v>
      </c>
      <c r="J15" s="1"/>
    </row>
    <row r="16" spans="2:11" ht="15.95" customHeight="1" x14ac:dyDescent="0.25">
      <c r="B16" s="330" t="s">
        <v>285</v>
      </c>
      <c r="C16" s="48" t="s">
        <v>76</v>
      </c>
      <c r="D16" s="49" t="s">
        <v>42</v>
      </c>
      <c r="E16" s="29" t="s">
        <v>77</v>
      </c>
      <c r="F16" s="29" t="s">
        <v>51</v>
      </c>
      <c r="G16" s="30">
        <v>0.87</v>
      </c>
      <c r="H16" s="30">
        <v>0.7</v>
      </c>
      <c r="I16" s="31" t="s">
        <v>62</v>
      </c>
      <c r="J16" s="1"/>
    </row>
    <row r="17" spans="2:11" ht="15.95" customHeight="1" x14ac:dyDescent="0.25">
      <c r="B17" s="331" t="s">
        <v>280</v>
      </c>
      <c r="C17" s="50" t="s">
        <v>78</v>
      </c>
      <c r="D17" s="51" t="s">
        <v>42</v>
      </c>
      <c r="E17" s="34" t="s">
        <v>79</v>
      </c>
      <c r="F17" s="34" t="s">
        <v>68</v>
      </c>
      <c r="G17" s="36">
        <v>1</v>
      </c>
      <c r="H17" s="36">
        <v>0.8</v>
      </c>
      <c r="I17" s="37" t="s">
        <v>62</v>
      </c>
      <c r="J17" s="1"/>
    </row>
    <row r="18" spans="2:11" ht="15.95" customHeight="1" x14ac:dyDescent="0.25">
      <c r="B18" s="331" t="s">
        <v>284</v>
      </c>
      <c r="C18" s="50" t="s">
        <v>80</v>
      </c>
      <c r="D18" s="51" t="s">
        <v>54</v>
      </c>
      <c r="E18" s="34" t="s">
        <v>55</v>
      </c>
      <c r="F18" s="34" t="s">
        <v>43</v>
      </c>
      <c r="G18" s="40">
        <v>1</v>
      </c>
      <c r="H18" s="40">
        <v>0.8</v>
      </c>
      <c r="I18" s="37" t="s">
        <v>62</v>
      </c>
      <c r="K18" s="2"/>
    </row>
    <row r="19" spans="2:11" ht="15.95" customHeight="1" x14ac:dyDescent="0.25">
      <c r="B19" s="331" t="s">
        <v>281</v>
      </c>
      <c r="C19" s="50" t="s">
        <v>81</v>
      </c>
      <c r="D19" s="51" t="s">
        <v>54</v>
      </c>
      <c r="E19" s="34" t="s">
        <v>67</v>
      </c>
      <c r="F19" s="34" t="s">
        <v>59</v>
      </c>
      <c r="G19" s="36">
        <v>1.5</v>
      </c>
      <c r="H19" s="36">
        <v>1.2</v>
      </c>
      <c r="I19" s="37" t="s">
        <v>62</v>
      </c>
      <c r="J19" s="52" t="s">
        <v>82</v>
      </c>
      <c r="K19" s="2"/>
    </row>
    <row r="20" spans="2:11" ht="15.95" customHeight="1" x14ac:dyDescent="0.25">
      <c r="B20" s="331" t="s">
        <v>282</v>
      </c>
      <c r="C20" s="50" t="s">
        <v>83</v>
      </c>
      <c r="D20" s="51" t="s">
        <v>54</v>
      </c>
      <c r="E20" s="34" t="s">
        <v>84</v>
      </c>
      <c r="F20" s="34" t="s">
        <v>59</v>
      </c>
      <c r="G20" s="36">
        <v>1.6</v>
      </c>
      <c r="H20" s="36">
        <v>1.2</v>
      </c>
      <c r="I20" s="37" t="s">
        <v>85</v>
      </c>
      <c r="J20" s="52" t="s">
        <v>82</v>
      </c>
      <c r="K20" s="22"/>
    </row>
    <row r="21" spans="2:11" x14ac:dyDescent="0.25">
      <c r="B21" s="331" t="s">
        <v>286</v>
      </c>
      <c r="C21" s="53" t="s">
        <v>329</v>
      </c>
      <c r="D21" s="51" t="s">
        <v>265</v>
      </c>
      <c r="E21" s="54" t="s">
        <v>266</v>
      </c>
      <c r="F21" s="34" t="s">
        <v>267</v>
      </c>
      <c r="G21" s="441">
        <v>2.5</v>
      </c>
      <c r="H21" s="441">
        <v>2.2999999999999998</v>
      </c>
      <c r="I21" s="37" t="s">
        <v>85</v>
      </c>
      <c r="J21" s="1"/>
    </row>
    <row r="22" spans="2:11" x14ac:dyDescent="0.25">
      <c r="B22" s="442" t="s">
        <v>333</v>
      </c>
      <c r="C22" s="443" t="s">
        <v>334</v>
      </c>
      <c r="D22" s="444" t="s">
        <v>54</v>
      </c>
      <c r="E22" s="445" t="s">
        <v>67</v>
      </c>
      <c r="F22" s="445" t="s">
        <v>335</v>
      </c>
      <c r="G22" s="446">
        <v>1.8</v>
      </c>
      <c r="H22" s="446">
        <v>1.35</v>
      </c>
      <c r="I22" s="447" t="s">
        <v>85</v>
      </c>
      <c r="J22" s="52" t="s">
        <v>88</v>
      </c>
    </row>
    <row r="23" spans="2:11" x14ac:dyDescent="0.25">
      <c r="B23" s="448" t="s">
        <v>338</v>
      </c>
      <c r="C23" s="449" t="s">
        <v>90</v>
      </c>
      <c r="D23" s="450" t="s">
        <v>54</v>
      </c>
      <c r="E23" s="54" t="s">
        <v>58</v>
      </c>
      <c r="F23" s="54" t="s">
        <v>336</v>
      </c>
      <c r="G23" s="441">
        <v>1.8</v>
      </c>
      <c r="H23" s="441">
        <v>1.5</v>
      </c>
      <c r="I23" s="451" t="s">
        <v>85</v>
      </c>
      <c r="J23" s="52" t="s">
        <v>337</v>
      </c>
    </row>
    <row r="24" spans="2:11" x14ac:dyDescent="0.25">
      <c r="B24" s="32" t="s">
        <v>287</v>
      </c>
      <c r="C24" s="53" t="s">
        <v>92</v>
      </c>
      <c r="D24" s="51" t="s">
        <v>54</v>
      </c>
      <c r="E24" s="54" t="s">
        <v>55</v>
      </c>
      <c r="F24" s="34" t="s">
        <v>93</v>
      </c>
      <c r="G24" s="36">
        <v>1</v>
      </c>
      <c r="H24" s="36">
        <v>0.75</v>
      </c>
      <c r="I24" s="37" t="s">
        <v>85</v>
      </c>
      <c r="J24" s="1"/>
    </row>
    <row r="25" spans="2:11" ht="15.75" thickBot="1" x14ac:dyDescent="0.3">
      <c r="B25" s="41" t="s">
        <v>288</v>
      </c>
      <c r="C25" s="55" t="s">
        <v>92</v>
      </c>
      <c r="D25" s="56" t="s">
        <v>54</v>
      </c>
      <c r="E25" s="57" t="s">
        <v>55</v>
      </c>
      <c r="F25" s="58" t="s">
        <v>95</v>
      </c>
      <c r="G25" s="430">
        <v>1</v>
      </c>
      <c r="H25" s="430">
        <v>0.75</v>
      </c>
      <c r="I25" s="42" t="s">
        <v>85</v>
      </c>
      <c r="J25" s="1"/>
    </row>
    <row r="26" spans="2:11" ht="24" thickBot="1" x14ac:dyDescent="0.4">
      <c r="B26" s="21"/>
      <c r="C26" s="59"/>
      <c r="D26" s="60"/>
      <c r="E26" s="61"/>
      <c r="F26" s="62"/>
      <c r="G26" s="63"/>
      <c r="H26" s="63"/>
      <c r="I26" s="63"/>
      <c r="J26" s="46"/>
      <c r="K26" s="46"/>
    </row>
    <row r="27" spans="2:11" ht="36" customHeight="1" thickBot="1" x14ac:dyDescent="0.3">
      <c r="B27" s="21"/>
      <c r="C27" s="403" t="s">
        <v>96</v>
      </c>
      <c r="D27" s="404"/>
      <c r="E27" s="404"/>
      <c r="F27" s="404"/>
      <c r="G27" s="404"/>
      <c r="H27" s="404"/>
      <c r="I27" s="405"/>
      <c r="J27" s="47" t="s">
        <v>75</v>
      </c>
    </row>
    <row r="28" spans="2:11" ht="34.5" customHeight="1" thickBot="1" x14ac:dyDescent="0.3">
      <c r="B28" s="23">
        <f>B14</f>
        <v>0</v>
      </c>
      <c r="C28" s="24" t="s">
        <v>33</v>
      </c>
      <c r="D28" s="25" t="s">
        <v>34</v>
      </c>
      <c r="E28" s="25" t="s">
        <v>35</v>
      </c>
      <c r="F28" s="25" t="s">
        <v>36</v>
      </c>
      <c r="G28" s="25" t="s">
        <v>37</v>
      </c>
      <c r="H28" s="25" t="s">
        <v>74</v>
      </c>
      <c r="I28" s="26" t="s">
        <v>39</v>
      </c>
      <c r="J28" s="1"/>
    </row>
    <row r="29" spans="2:11" ht="15.95" customHeight="1" x14ac:dyDescent="0.25">
      <c r="B29" s="28"/>
      <c r="C29" s="48" t="s">
        <v>97</v>
      </c>
      <c r="D29" s="49" t="s">
        <v>42</v>
      </c>
      <c r="E29" s="29" t="s">
        <v>98</v>
      </c>
      <c r="F29" s="29" t="s">
        <v>51</v>
      </c>
      <c r="G29" s="64">
        <f>G45/3</f>
        <v>1.1666666666666667</v>
      </c>
      <c r="H29" s="64">
        <f>G29*0.8</f>
        <v>0.93333333333333346</v>
      </c>
      <c r="I29" s="31" t="s">
        <v>62</v>
      </c>
      <c r="J29" s="1"/>
    </row>
    <row r="30" spans="2:11" ht="15.75" thickBot="1" x14ac:dyDescent="0.3">
      <c r="B30" s="41"/>
      <c r="C30" s="65" t="s">
        <v>99</v>
      </c>
      <c r="D30" s="56" t="s">
        <v>54</v>
      </c>
      <c r="E30" s="58" t="s">
        <v>79</v>
      </c>
      <c r="F30" s="58" t="s">
        <v>68</v>
      </c>
      <c r="G30" s="66">
        <f>G44/3</f>
        <v>1.3333333333333333</v>
      </c>
      <c r="H30" s="66">
        <f>G30*0.8</f>
        <v>1.0666666666666667</v>
      </c>
      <c r="I30" s="42" t="s">
        <v>62</v>
      </c>
      <c r="J30" s="2"/>
    </row>
    <row r="31" spans="2:11" ht="15.75" x14ac:dyDescent="0.25">
      <c r="B31" s="21"/>
      <c r="G31" s="67"/>
      <c r="H31" s="67"/>
      <c r="I31" s="67"/>
    </row>
    <row r="32" spans="2:11" ht="15.75" thickBot="1" x14ac:dyDescent="0.3">
      <c r="B32" s="21"/>
    </row>
    <row r="33" spans="2:10" ht="33.75" customHeight="1" thickBot="1" x14ac:dyDescent="0.35">
      <c r="B33" s="21"/>
      <c r="C33" s="438" t="s">
        <v>313</v>
      </c>
      <c r="D33" s="398"/>
      <c r="E33" s="398"/>
      <c r="F33" s="398"/>
      <c r="G33" s="398"/>
      <c r="H33" s="398"/>
      <c r="I33" s="399"/>
      <c r="J33" s="47" t="s">
        <v>75</v>
      </c>
    </row>
    <row r="34" spans="2:10" ht="35.25" customHeight="1" thickBot="1" x14ac:dyDescent="0.3">
      <c r="B34" s="23" t="str">
        <f>B5</f>
        <v>PEC</v>
      </c>
      <c r="C34" s="68" t="s">
        <v>314</v>
      </c>
      <c r="D34" s="69" t="s">
        <v>34</v>
      </c>
      <c r="E34" s="69" t="s">
        <v>35</v>
      </c>
      <c r="F34" s="69" t="s">
        <v>36</v>
      </c>
      <c r="G34" s="69" t="s">
        <v>37</v>
      </c>
      <c r="H34" s="69" t="s">
        <v>74</v>
      </c>
      <c r="I34" s="70" t="s">
        <v>39</v>
      </c>
    </row>
    <row r="35" spans="2:10" ht="15.95" customHeight="1" x14ac:dyDescent="0.25">
      <c r="B35" s="28" t="s">
        <v>289</v>
      </c>
      <c r="C35" s="409" t="s">
        <v>101</v>
      </c>
      <c r="D35" s="71" t="s">
        <v>102</v>
      </c>
      <c r="E35" s="71" t="s">
        <v>103</v>
      </c>
      <c r="F35" s="71" t="s">
        <v>51</v>
      </c>
      <c r="G35" s="71">
        <v>1.2</v>
      </c>
      <c r="H35" s="71">
        <v>1</v>
      </c>
      <c r="I35" s="72" t="s">
        <v>104</v>
      </c>
      <c r="J35" t="s">
        <v>105</v>
      </c>
    </row>
    <row r="36" spans="2:10" ht="15.95" customHeight="1" x14ac:dyDescent="0.25">
      <c r="B36" s="452" t="s">
        <v>331</v>
      </c>
      <c r="C36" s="453" t="s">
        <v>332</v>
      </c>
      <c r="D36" s="454"/>
      <c r="E36" s="454"/>
      <c r="F36" s="454"/>
      <c r="G36" s="454"/>
      <c r="H36" s="454"/>
      <c r="I36" s="455"/>
    </row>
    <row r="37" spans="2:10" ht="15.95" customHeight="1" x14ac:dyDescent="0.25">
      <c r="B37" s="32" t="s">
        <v>290</v>
      </c>
      <c r="C37" s="410" t="s">
        <v>107</v>
      </c>
      <c r="D37" s="73" t="s">
        <v>54</v>
      </c>
      <c r="E37" s="73" t="s">
        <v>55</v>
      </c>
      <c r="F37" s="73" t="s">
        <v>108</v>
      </c>
      <c r="G37" s="73">
        <v>3.5</v>
      </c>
      <c r="H37" s="73">
        <v>2.5</v>
      </c>
      <c r="I37" s="74" t="s">
        <v>44</v>
      </c>
      <c r="J37" t="s">
        <v>120</v>
      </c>
    </row>
    <row r="38" spans="2:10" ht="15.95" customHeight="1" x14ac:dyDescent="0.25">
      <c r="B38" s="32" t="s">
        <v>291</v>
      </c>
      <c r="C38" s="410" t="s">
        <v>330</v>
      </c>
      <c r="D38" s="73" t="s">
        <v>102</v>
      </c>
      <c r="E38" s="73" t="s">
        <v>111</v>
      </c>
      <c r="F38" s="73" t="s">
        <v>108</v>
      </c>
      <c r="G38" s="73">
        <v>3.5</v>
      </c>
      <c r="H38" s="73">
        <v>2.5</v>
      </c>
      <c r="I38" s="74" t="s">
        <v>44</v>
      </c>
    </row>
    <row r="39" spans="2:10" ht="15.95" customHeight="1" thickBot="1" x14ac:dyDescent="0.3">
      <c r="B39" s="41" t="s">
        <v>292</v>
      </c>
      <c r="C39" s="411" t="s">
        <v>113</v>
      </c>
      <c r="D39" s="75" t="s">
        <v>54</v>
      </c>
      <c r="E39" s="75" t="s">
        <v>114</v>
      </c>
      <c r="F39" s="75" t="s">
        <v>115</v>
      </c>
      <c r="G39" s="75">
        <v>3</v>
      </c>
      <c r="H39" s="75">
        <v>2.5</v>
      </c>
      <c r="I39" s="427" t="s">
        <v>44</v>
      </c>
    </row>
    <row r="40" spans="2:10" x14ac:dyDescent="0.25">
      <c r="B40" s="424"/>
      <c r="C40" s="425"/>
      <c r="D40" s="424"/>
      <c r="E40" s="424"/>
      <c r="F40" s="424"/>
      <c r="G40" s="424"/>
      <c r="H40" s="426"/>
      <c r="I40" s="426"/>
    </row>
    <row r="41" spans="2:10" ht="15.75" thickBot="1" x14ac:dyDescent="0.3"/>
    <row r="42" spans="2:10" ht="33" customHeight="1" thickBot="1" x14ac:dyDescent="0.35">
      <c r="B42" s="21"/>
      <c r="C42" s="438" t="s">
        <v>312</v>
      </c>
      <c r="D42" s="398"/>
      <c r="E42" s="398"/>
      <c r="F42" s="398"/>
      <c r="G42" s="398"/>
      <c r="H42" s="398"/>
      <c r="I42" s="399"/>
      <c r="J42" s="47" t="s">
        <v>75</v>
      </c>
    </row>
    <row r="43" spans="2:10" ht="38.25" customHeight="1" thickBot="1" x14ac:dyDescent="0.3">
      <c r="B43" s="23" t="s">
        <v>32</v>
      </c>
      <c r="C43" s="68" t="s">
        <v>315</v>
      </c>
      <c r="D43" s="69" t="s">
        <v>34</v>
      </c>
      <c r="E43" s="69" t="s">
        <v>35</v>
      </c>
      <c r="F43" s="69" t="s">
        <v>36</v>
      </c>
      <c r="G43" s="69" t="s">
        <v>37</v>
      </c>
      <c r="H43" s="69" t="s">
        <v>74</v>
      </c>
      <c r="I43" s="70" t="s">
        <v>39</v>
      </c>
    </row>
    <row r="44" spans="2:10" ht="15.95" customHeight="1" x14ac:dyDescent="0.25">
      <c r="B44" s="28" t="s">
        <v>293</v>
      </c>
      <c r="C44" s="409" t="s">
        <v>117</v>
      </c>
      <c r="D44" s="71" t="s">
        <v>54</v>
      </c>
      <c r="E44" s="71" t="s">
        <v>55</v>
      </c>
      <c r="F44" s="71" t="s">
        <v>118</v>
      </c>
      <c r="G44" s="71">
        <v>4</v>
      </c>
      <c r="H44" s="71">
        <v>2.7</v>
      </c>
      <c r="I44" s="72" t="s">
        <v>119</v>
      </c>
      <c r="J44" t="s">
        <v>120</v>
      </c>
    </row>
    <row r="45" spans="2:10" ht="15.75" thickBot="1" x14ac:dyDescent="0.3">
      <c r="B45" s="41" t="s">
        <v>294</v>
      </c>
      <c r="C45" s="411" t="s">
        <v>122</v>
      </c>
      <c r="D45" s="75" t="s">
        <v>102</v>
      </c>
      <c r="E45" s="75" t="s">
        <v>123</v>
      </c>
      <c r="F45" s="75" t="s">
        <v>51</v>
      </c>
      <c r="G45" s="75">
        <v>3.5</v>
      </c>
      <c r="H45" s="76" t="s">
        <v>124</v>
      </c>
      <c r="I45" s="77" t="s">
        <v>124</v>
      </c>
      <c r="J45" s="2"/>
    </row>
    <row r="46" spans="2:10" ht="15.75" x14ac:dyDescent="0.25">
      <c r="B46" s="21"/>
      <c r="G46" s="67"/>
      <c r="H46" s="67"/>
      <c r="I46" s="67"/>
      <c r="J46" s="2"/>
    </row>
    <row r="47" spans="2:10" ht="16.5" thickBot="1" x14ac:dyDescent="0.3">
      <c r="B47" s="21"/>
      <c r="G47" s="67"/>
      <c r="H47" s="67"/>
      <c r="I47" s="67"/>
    </row>
    <row r="48" spans="2:10" ht="31.5" customHeight="1" thickBot="1" x14ac:dyDescent="0.3">
      <c r="B48" s="21"/>
      <c r="C48" s="438" t="s">
        <v>327</v>
      </c>
      <c r="D48" s="436"/>
      <c r="E48" s="436"/>
      <c r="F48" s="436"/>
      <c r="G48" s="436"/>
      <c r="H48" s="436"/>
      <c r="I48" s="437"/>
    </row>
    <row r="49" spans="1:10" ht="32.25" thickBot="1" x14ac:dyDescent="0.3">
      <c r="B49" s="434" t="s">
        <v>32</v>
      </c>
      <c r="C49" s="434" t="s">
        <v>306</v>
      </c>
      <c r="D49" s="419"/>
      <c r="E49" s="419"/>
      <c r="F49" s="419"/>
      <c r="G49" s="420" t="s">
        <v>140</v>
      </c>
      <c r="H49" s="420" t="s">
        <v>141</v>
      </c>
      <c r="I49" s="421" t="s">
        <v>125</v>
      </c>
    </row>
    <row r="50" spans="1:10" x14ac:dyDescent="0.25">
      <c r="B50" s="497" t="s">
        <v>295</v>
      </c>
      <c r="C50" s="7" t="s">
        <v>302</v>
      </c>
      <c r="D50" s="8"/>
      <c r="E50" s="8"/>
      <c r="F50" s="8"/>
      <c r="G50" s="8"/>
      <c r="H50" s="8"/>
      <c r="I50" s="9"/>
    </row>
    <row r="51" spans="1:10" x14ac:dyDescent="0.25">
      <c r="B51" s="498" t="s">
        <v>323</v>
      </c>
      <c r="C51" s="10" t="s">
        <v>303</v>
      </c>
      <c r="D51" s="6"/>
      <c r="E51" s="6"/>
      <c r="F51" s="6"/>
      <c r="G51" s="6"/>
      <c r="H51" s="6"/>
      <c r="I51" s="11"/>
    </row>
    <row r="52" spans="1:10" x14ac:dyDescent="0.25">
      <c r="B52" s="498" t="s">
        <v>324</v>
      </c>
      <c r="C52" s="10" t="s">
        <v>304</v>
      </c>
      <c r="D52" s="6"/>
      <c r="E52" s="6"/>
      <c r="F52" s="6"/>
      <c r="G52" s="6"/>
      <c r="H52" s="6"/>
      <c r="I52" s="11"/>
    </row>
    <row r="53" spans="1:10" ht="15.75" thickBot="1" x14ac:dyDescent="0.3">
      <c r="B53" s="499" t="s">
        <v>325</v>
      </c>
      <c r="C53" s="12" t="s">
        <v>305</v>
      </c>
      <c r="D53" s="13"/>
      <c r="E53" s="13"/>
      <c r="F53" s="13"/>
      <c r="G53" s="13"/>
      <c r="H53" s="13"/>
      <c r="I53" s="14"/>
    </row>
    <row r="54" spans="1:10" x14ac:dyDescent="0.25">
      <c r="B54" s="500" t="s">
        <v>129</v>
      </c>
      <c r="C54" s="505" t="s">
        <v>316</v>
      </c>
      <c r="D54" s="408"/>
      <c r="E54" s="408"/>
      <c r="F54" s="408"/>
      <c r="G54" s="408">
        <v>0.01</v>
      </c>
      <c r="H54" s="408">
        <v>3.0000000000000001E-3</v>
      </c>
      <c r="I54" s="414" t="s">
        <v>0</v>
      </c>
    </row>
    <row r="55" spans="1:10" x14ac:dyDescent="0.25">
      <c r="B55" s="501" t="s">
        <v>130</v>
      </c>
      <c r="C55" s="10" t="s">
        <v>317</v>
      </c>
      <c r="D55" s="6"/>
      <c r="E55" s="6"/>
      <c r="F55" s="6"/>
      <c r="G55" s="6">
        <v>0.01</v>
      </c>
      <c r="H55" s="6">
        <v>3.0000000000000001E-3</v>
      </c>
      <c r="I55" s="415" t="s">
        <v>0</v>
      </c>
    </row>
    <row r="56" spans="1:10" x14ac:dyDescent="0.25">
      <c r="B56" s="501" t="s">
        <v>131</v>
      </c>
      <c r="C56" s="10" t="s">
        <v>318</v>
      </c>
      <c r="D56" s="6"/>
      <c r="E56" s="6"/>
      <c r="F56" s="6"/>
      <c r="G56" s="6">
        <v>0.01</v>
      </c>
      <c r="H56" s="6">
        <v>3.0000000000000001E-3</v>
      </c>
      <c r="I56" s="415" t="s">
        <v>0</v>
      </c>
    </row>
    <row r="57" spans="1:10" x14ac:dyDescent="0.25">
      <c r="B57" s="501" t="s">
        <v>132</v>
      </c>
      <c r="C57" s="10" t="s">
        <v>319</v>
      </c>
      <c r="D57" s="6"/>
      <c r="E57" s="6"/>
      <c r="F57" s="6"/>
      <c r="G57" s="6">
        <v>0.01</v>
      </c>
      <c r="H57" s="6">
        <v>3.0000000000000001E-3</v>
      </c>
      <c r="I57" s="415" t="s">
        <v>0</v>
      </c>
    </row>
    <row r="58" spans="1:10" ht="15.75" thickBot="1" x14ac:dyDescent="0.3">
      <c r="B58" s="502" t="s">
        <v>133</v>
      </c>
      <c r="C58" s="506" t="s">
        <v>320</v>
      </c>
      <c r="D58" s="83"/>
      <c r="E58" s="83"/>
      <c r="F58" s="83"/>
      <c r="G58" s="83">
        <v>0.01</v>
      </c>
      <c r="H58" s="83">
        <v>3.0000000000000001E-3</v>
      </c>
      <c r="I58" s="416" t="s">
        <v>0</v>
      </c>
    </row>
    <row r="59" spans="1:10" x14ac:dyDescent="0.25">
      <c r="B59" s="503" t="s">
        <v>297</v>
      </c>
      <c r="C59" s="7" t="s">
        <v>321</v>
      </c>
      <c r="D59" s="8"/>
      <c r="E59" s="8"/>
      <c r="F59" s="8"/>
      <c r="G59" s="8">
        <v>0.01</v>
      </c>
      <c r="H59" s="8">
        <v>3.0000000000000001E-3</v>
      </c>
      <c r="I59" s="417" t="s">
        <v>0</v>
      </c>
    </row>
    <row r="60" spans="1:10" x14ac:dyDescent="0.25">
      <c r="B60" s="504" t="s">
        <v>298</v>
      </c>
      <c r="C60" s="505" t="s">
        <v>300</v>
      </c>
      <c r="D60" s="408"/>
      <c r="E60" s="408"/>
      <c r="F60" s="408"/>
      <c r="G60" s="408">
        <v>0.01</v>
      </c>
      <c r="H60" s="408">
        <v>3.0000000000000001E-3</v>
      </c>
      <c r="I60" s="414" t="s">
        <v>0</v>
      </c>
    </row>
    <row r="61" spans="1:10" ht="18.75" customHeight="1" thickBot="1" x14ac:dyDescent="0.3">
      <c r="B61" s="504" t="s">
        <v>299</v>
      </c>
      <c r="C61" s="507" t="s">
        <v>341</v>
      </c>
      <c r="D61" s="508"/>
      <c r="E61" s="508"/>
      <c r="F61" s="508"/>
      <c r="G61" s="508">
        <v>0.01</v>
      </c>
      <c r="H61" s="508">
        <v>3.0000000000000001E-3</v>
      </c>
      <c r="I61" s="509" t="s">
        <v>0</v>
      </c>
    </row>
    <row r="62" spans="1:10" ht="32.25" thickBot="1" x14ac:dyDescent="0.3">
      <c r="B62" s="434" t="s">
        <v>32</v>
      </c>
      <c r="C62" s="434" t="s">
        <v>296</v>
      </c>
      <c r="D62" s="419"/>
      <c r="E62" s="419"/>
      <c r="F62" s="419"/>
      <c r="G62" s="420" t="s">
        <v>140</v>
      </c>
      <c r="H62" s="420" t="s">
        <v>141</v>
      </c>
      <c r="I62" s="421" t="s">
        <v>125</v>
      </c>
    </row>
    <row r="63" spans="1:10" ht="15.75" thickBot="1" x14ac:dyDescent="0.3">
      <c r="B63" s="512" t="s">
        <v>135</v>
      </c>
      <c r="C63" s="80" t="s">
        <v>301</v>
      </c>
      <c r="D63" s="423"/>
      <c r="E63" s="423"/>
      <c r="F63" s="423"/>
      <c r="G63" s="432"/>
      <c r="H63" s="432"/>
      <c r="I63" s="433"/>
    </row>
    <row r="64" spans="1:10" x14ac:dyDescent="0.25">
      <c r="A64" s="2"/>
      <c r="B64" s="406"/>
      <c r="C64" s="2"/>
      <c r="D64" s="2"/>
      <c r="E64" s="2"/>
      <c r="F64" s="2"/>
      <c r="G64" s="2"/>
      <c r="H64" s="2"/>
      <c r="I64" s="428"/>
      <c r="J64" s="2"/>
    </row>
    <row r="65" spans="1:11" ht="16.5" thickBot="1" x14ac:dyDescent="0.3">
      <c r="A65" s="2"/>
      <c r="B65" s="424"/>
      <c r="G65" s="67"/>
      <c r="H65" s="67"/>
      <c r="I65" s="67"/>
      <c r="J65" s="2"/>
    </row>
    <row r="66" spans="1:11" ht="39.75" customHeight="1" thickBot="1" x14ac:dyDescent="0.3">
      <c r="A66" s="2"/>
      <c r="B66" s="424"/>
      <c r="C66" s="438" t="s">
        <v>326</v>
      </c>
      <c r="D66" s="435"/>
      <c r="E66" s="435"/>
      <c r="F66" s="435"/>
      <c r="G66" s="435"/>
      <c r="H66" s="435"/>
      <c r="I66" s="435"/>
      <c r="J66" s="412"/>
      <c r="K66" s="413"/>
    </row>
    <row r="67" spans="1:11" ht="32.25" thickBot="1" x14ac:dyDescent="0.3">
      <c r="B67" s="440" t="s">
        <v>32</v>
      </c>
      <c r="C67" s="439" t="s">
        <v>308</v>
      </c>
      <c r="D67" s="577" t="s">
        <v>328</v>
      </c>
      <c r="E67" s="422" t="s">
        <v>140</v>
      </c>
      <c r="F67" s="420" t="s">
        <v>141</v>
      </c>
      <c r="G67" s="421" t="s">
        <v>125</v>
      </c>
      <c r="H67" s="577" t="s">
        <v>309</v>
      </c>
      <c r="I67" s="422" t="s">
        <v>140</v>
      </c>
      <c r="J67" s="420" t="s">
        <v>141</v>
      </c>
      <c r="K67" s="421" t="s">
        <v>125</v>
      </c>
    </row>
    <row r="68" spans="1:11" x14ac:dyDescent="0.25">
      <c r="B68" s="497" t="s">
        <v>126</v>
      </c>
      <c r="C68" s="152" t="s">
        <v>339</v>
      </c>
      <c r="D68" s="579"/>
      <c r="E68" s="7">
        <v>1.5</v>
      </c>
      <c r="F68" s="408">
        <v>0.95</v>
      </c>
      <c r="G68" s="414" t="s">
        <v>0</v>
      </c>
      <c r="H68" s="579"/>
      <c r="I68" s="8">
        <v>0.01</v>
      </c>
      <c r="J68" s="8">
        <v>3.0000000000000001E-3</v>
      </c>
      <c r="K68" s="417" t="s">
        <v>0</v>
      </c>
    </row>
    <row r="69" spans="1:11" x14ac:dyDescent="0.25">
      <c r="B69" s="498" t="s">
        <v>127</v>
      </c>
      <c r="C69" s="153" t="s">
        <v>310</v>
      </c>
      <c r="D69" s="579"/>
      <c r="E69" s="10">
        <v>1.5</v>
      </c>
      <c r="F69" s="6">
        <v>0.95</v>
      </c>
      <c r="G69" s="415" t="s">
        <v>0</v>
      </c>
      <c r="H69" s="579"/>
      <c r="I69" s="6">
        <v>0.01</v>
      </c>
      <c r="J69" s="6">
        <v>3.0000000000000001E-3</v>
      </c>
      <c r="K69" s="415" t="s">
        <v>0</v>
      </c>
    </row>
    <row r="70" spans="1:11" ht="18.75" customHeight="1" thickBot="1" x14ac:dyDescent="0.3">
      <c r="B70" s="499" t="s">
        <v>128</v>
      </c>
      <c r="C70" s="154" t="s">
        <v>311</v>
      </c>
      <c r="D70" s="578"/>
      <c r="E70" s="12">
        <v>1.5</v>
      </c>
      <c r="F70" s="13">
        <v>0.95</v>
      </c>
      <c r="G70" s="418" t="s">
        <v>0</v>
      </c>
      <c r="H70" s="578"/>
      <c r="I70" s="13">
        <v>0.01</v>
      </c>
      <c r="J70" s="13">
        <v>3.0000000000000001E-3</v>
      </c>
      <c r="K70" s="418" t="s">
        <v>0</v>
      </c>
    </row>
    <row r="71" spans="1:11" ht="32.25" thickBot="1" x14ac:dyDescent="0.3">
      <c r="B71" s="510" t="s">
        <v>32</v>
      </c>
      <c r="C71" s="440" t="s">
        <v>307</v>
      </c>
      <c r="D71" s="577" t="s">
        <v>328</v>
      </c>
      <c r="E71" s="422" t="s">
        <v>140</v>
      </c>
      <c r="F71" s="420" t="s">
        <v>141</v>
      </c>
      <c r="G71" s="421" t="s">
        <v>125</v>
      </c>
      <c r="H71" s="577" t="s">
        <v>309</v>
      </c>
      <c r="I71" s="422" t="s">
        <v>140</v>
      </c>
      <c r="J71" s="420" t="s">
        <v>141</v>
      </c>
      <c r="K71" s="421" t="s">
        <v>125</v>
      </c>
    </row>
    <row r="72" spans="1:11" ht="17.25" customHeight="1" thickBot="1" x14ac:dyDescent="0.3">
      <c r="B72" s="511" t="s">
        <v>136</v>
      </c>
      <c r="C72" s="154" t="s">
        <v>340</v>
      </c>
      <c r="D72" s="578"/>
      <c r="E72" s="12">
        <v>1.5</v>
      </c>
      <c r="F72" s="13">
        <v>0.95</v>
      </c>
      <c r="G72" s="418" t="s">
        <v>0</v>
      </c>
      <c r="H72" s="578"/>
      <c r="I72" s="12">
        <v>1</v>
      </c>
      <c r="J72" s="13">
        <v>0.34</v>
      </c>
      <c r="K72" s="418" t="s">
        <v>0</v>
      </c>
    </row>
  </sheetData>
  <mergeCells count="5">
    <mergeCell ref="D71:D72"/>
    <mergeCell ref="H71:H72"/>
    <mergeCell ref="H67:H70"/>
    <mergeCell ref="D67:D70"/>
    <mergeCell ref="C2:I2"/>
  </mergeCells>
  <pageMargins left="0.25" right="0.25" top="0.75" bottom="0.75" header="0.3" footer="0.3"/>
  <pageSetup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
  <sheetViews>
    <sheetView zoomScale="80" zoomScaleNormal="80" workbookViewId="0">
      <selection activeCell="S4" sqref="S4"/>
    </sheetView>
  </sheetViews>
  <sheetFormatPr defaultRowHeight="15" x14ac:dyDescent="0.25"/>
  <cols>
    <col min="1" max="1" width="18.28515625" customWidth="1"/>
    <col min="2" max="2" width="13.42578125" customWidth="1"/>
    <col min="3" max="3" width="15.42578125" customWidth="1"/>
    <col min="4" max="4" width="9.5703125" customWidth="1"/>
    <col min="5" max="5" width="23.85546875" customWidth="1"/>
  </cols>
  <sheetData>
    <row r="1" spans="1:14" ht="15.75" thickBot="1" x14ac:dyDescent="0.3">
      <c r="A1" s="584"/>
      <c r="B1" s="585"/>
      <c r="C1" s="585"/>
      <c r="D1" s="585"/>
      <c r="E1" s="586"/>
      <c r="F1" s="306"/>
      <c r="G1" s="307"/>
      <c r="I1" s="321"/>
      <c r="J1" s="178" t="s">
        <v>244</v>
      </c>
    </row>
    <row r="2" spans="1:14" ht="15.75" thickBot="1" x14ac:dyDescent="0.3">
      <c r="A2" s="584" t="s">
        <v>162</v>
      </c>
      <c r="B2" s="585"/>
      <c r="C2" s="585"/>
      <c r="D2" s="585"/>
      <c r="E2" s="586"/>
      <c r="F2" s="316"/>
      <c r="G2" s="317"/>
      <c r="I2" s="320"/>
      <c r="J2" s="315" t="s">
        <v>245</v>
      </c>
    </row>
    <row r="3" spans="1:14" ht="15.75" thickBot="1" x14ac:dyDescent="0.3">
      <c r="A3" s="80"/>
      <c r="B3" s="81" t="s">
        <v>269</v>
      </c>
      <c r="C3" s="81" t="s">
        <v>270</v>
      </c>
      <c r="D3" s="81" t="s">
        <v>271</v>
      </c>
      <c r="E3" s="82" t="s">
        <v>272</v>
      </c>
      <c r="F3" s="352" t="s">
        <v>22</v>
      </c>
      <c r="G3" s="353" t="s">
        <v>23</v>
      </c>
      <c r="H3" s="318" t="s">
        <v>246</v>
      </c>
      <c r="I3" s="319" t="s">
        <v>247</v>
      </c>
      <c r="J3" s="361" t="s">
        <v>248</v>
      </c>
    </row>
    <row r="4" spans="1:14" x14ac:dyDescent="0.25">
      <c r="A4" s="85" t="s">
        <v>253</v>
      </c>
      <c r="B4" s="378">
        <f>F4</f>
        <v>153.69480000000001</v>
      </c>
      <c r="C4" s="310"/>
      <c r="D4" s="310">
        <v>0</v>
      </c>
      <c r="E4" s="380">
        <f>B4+(C4*D4)</f>
        <v>153.69480000000001</v>
      </c>
      <c r="F4" s="327">
        <f t="shared" ref="F4" si="0">1.33*G4</f>
        <v>153.69480000000001</v>
      </c>
      <c r="G4" s="328">
        <v>115.56</v>
      </c>
      <c r="H4" s="355">
        <v>49.14</v>
      </c>
      <c r="I4" s="144">
        <v>106.38</v>
      </c>
      <c r="L4" t="s">
        <v>237</v>
      </c>
      <c r="M4" s="308">
        <v>0.85</v>
      </c>
      <c r="N4" t="s">
        <v>238</v>
      </c>
    </row>
    <row r="5" spans="1:14" x14ac:dyDescent="0.25">
      <c r="A5" s="86" t="s">
        <v>252</v>
      </c>
      <c r="B5" s="379">
        <f>F5</f>
        <v>196.0686</v>
      </c>
      <c r="C5" s="312">
        <v>4</v>
      </c>
      <c r="D5" s="312">
        <v>6</v>
      </c>
      <c r="E5" s="380">
        <f t="shared" ref="E5:E8" si="1">B5+(C5*D5)</f>
        <v>220.0686</v>
      </c>
      <c r="F5" s="376">
        <f t="shared" ref="F5:F8" si="2">1.33*G5</f>
        <v>196.0686</v>
      </c>
      <c r="G5" s="377">
        <v>147.41999999999999</v>
      </c>
      <c r="H5" s="355">
        <v>95.04</v>
      </c>
      <c r="I5" s="144">
        <v>127.44</v>
      </c>
      <c r="L5" t="s">
        <v>239</v>
      </c>
      <c r="M5" s="309">
        <f>1/M4</f>
        <v>1.1764705882352942</v>
      </c>
      <c r="N5" t="s">
        <v>238</v>
      </c>
    </row>
    <row r="6" spans="1:14" x14ac:dyDescent="0.25">
      <c r="A6" s="86" t="s">
        <v>251</v>
      </c>
      <c r="B6" s="379">
        <f>F6</f>
        <v>201.12260000000001</v>
      </c>
      <c r="C6" s="312">
        <v>3.5</v>
      </c>
      <c r="D6" s="312">
        <v>16</v>
      </c>
      <c r="E6" s="380">
        <f t="shared" si="1"/>
        <v>257.12260000000003</v>
      </c>
      <c r="F6" s="376">
        <f t="shared" si="2"/>
        <v>201.12260000000001</v>
      </c>
      <c r="G6" s="377">
        <v>151.22</v>
      </c>
      <c r="H6" s="355">
        <v>96.12</v>
      </c>
      <c r="I6" s="11"/>
    </row>
    <row r="7" spans="1:14" x14ac:dyDescent="0.25">
      <c r="A7" s="86" t="s">
        <v>262</v>
      </c>
      <c r="B7" s="379">
        <f>F7</f>
        <v>201.81420000000003</v>
      </c>
      <c r="C7" s="312">
        <v>1.5</v>
      </c>
      <c r="D7" s="312">
        <v>24</v>
      </c>
      <c r="E7" s="380">
        <f t="shared" si="1"/>
        <v>237.81420000000003</v>
      </c>
      <c r="F7" s="376">
        <f t="shared" si="2"/>
        <v>201.81420000000003</v>
      </c>
      <c r="G7" s="377">
        <v>151.74</v>
      </c>
      <c r="H7" s="355">
        <v>89.64</v>
      </c>
      <c r="I7" s="144">
        <v>137.69999999999999</v>
      </c>
    </row>
    <row r="8" spans="1:14" x14ac:dyDescent="0.25">
      <c r="A8" s="86" t="s">
        <v>250</v>
      </c>
      <c r="B8" s="379">
        <f>F8</f>
        <v>297.33480000000003</v>
      </c>
      <c r="C8" s="312">
        <v>0.5</v>
      </c>
      <c r="D8" s="312">
        <v>24</v>
      </c>
      <c r="E8" s="380">
        <f t="shared" si="1"/>
        <v>309.33480000000003</v>
      </c>
      <c r="F8" s="376">
        <f t="shared" si="2"/>
        <v>297.33480000000003</v>
      </c>
      <c r="G8" s="377">
        <v>223.56</v>
      </c>
      <c r="H8" s="355">
        <v>105.84</v>
      </c>
      <c r="I8" s="144">
        <v>151.75</v>
      </c>
    </row>
    <row r="9" spans="1:14" x14ac:dyDescent="0.25">
      <c r="A9" s="84"/>
      <c r="B9" s="313"/>
      <c r="C9" s="6"/>
      <c r="D9" s="6"/>
      <c r="E9" s="78"/>
      <c r="F9" s="314"/>
      <c r="G9" s="358"/>
      <c r="H9" s="356"/>
      <c r="I9" s="11"/>
      <c r="L9">
        <f>24*30</f>
        <v>720</v>
      </c>
      <c r="M9" t="s">
        <v>242</v>
      </c>
    </row>
    <row r="10" spans="1:14" x14ac:dyDescent="0.25">
      <c r="A10" s="84"/>
      <c r="B10" s="313"/>
      <c r="C10" s="6"/>
      <c r="D10" s="6"/>
      <c r="E10" s="78"/>
      <c r="F10" s="314"/>
      <c r="G10" s="358"/>
      <c r="H10" s="356"/>
      <c r="I10" s="11"/>
    </row>
    <row r="11" spans="1:14" ht="15.75" thickBot="1" x14ac:dyDescent="0.3">
      <c r="A11" s="322"/>
      <c r="B11" s="323"/>
      <c r="C11" s="83"/>
      <c r="D11" s="83"/>
      <c r="E11" s="324"/>
      <c r="F11" s="359"/>
      <c r="G11" s="360"/>
      <c r="H11" s="357"/>
      <c r="I11" s="14"/>
    </row>
    <row r="12" spans="1:14" x14ac:dyDescent="0.25">
      <c r="A12" s="325" t="s">
        <v>240</v>
      </c>
      <c r="B12" s="379">
        <f>F12</f>
        <v>141.5</v>
      </c>
      <c r="C12" s="8"/>
      <c r="D12" s="8"/>
      <c r="E12" s="326"/>
      <c r="F12" s="311">
        <v>141.5</v>
      </c>
      <c r="G12" s="354">
        <v>106.4</v>
      </c>
      <c r="H12" t="s">
        <v>241</v>
      </c>
    </row>
    <row r="13" spans="1:14" ht="15.75" thickBot="1" x14ac:dyDescent="0.3">
      <c r="A13" s="87" t="s">
        <v>30</v>
      </c>
      <c r="B13" s="13"/>
      <c r="C13" s="13"/>
      <c r="D13" s="13"/>
      <c r="E13" s="79"/>
      <c r="F13" s="12">
        <v>0.01</v>
      </c>
      <c r="G13" s="14">
        <v>3.0000000000000001E-3</v>
      </c>
    </row>
    <row r="15" spans="1:14" ht="15.75" thickBot="1" x14ac:dyDescent="0.3">
      <c r="A15">
        <f>3*H4+7*H8+G8</f>
        <v>1111.8599999999999</v>
      </c>
      <c r="B15">
        <f>A15+5*G12</f>
        <v>1643.86</v>
      </c>
    </row>
    <row r="16" spans="1:14" ht="15.75" thickBot="1" x14ac:dyDescent="0.3">
      <c r="C16" s="581" t="s">
        <v>170</v>
      </c>
      <c r="D16" s="582"/>
      <c r="E16" s="582"/>
      <c r="F16" s="583"/>
    </row>
    <row r="17" spans="1:11" s="139" customFormat="1" ht="80.25" customHeight="1" thickBot="1" x14ac:dyDescent="0.3">
      <c r="B17" s="155" t="s">
        <v>171</v>
      </c>
      <c r="C17" s="156" t="s">
        <v>168</v>
      </c>
      <c r="D17" s="157" t="s">
        <v>169</v>
      </c>
      <c r="E17" s="157" t="s">
        <v>166</v>
      </c>
      <c r="F17" s="158" t="s">
        <v>166</v>
      </c>
      <c r="G17" s="159" t="s">
        <v>175</v>
      </c>
      <c r="H17" s="157" t="s">
        <v>172</v>
      </c>
      <c r="I17" s="160" t="s">
        <v>173</v>
      </c>
      <c r="J17" s="161" t="s">
        <v>174</v>
      </c>
    </row>
    <row r="18" spans="1:11" x14ac:dyDescent="0.25">
      <c r="A18" s="152" t="s">
        <v>164</v>
      </c>
      <c r="B18" s="162">
        <v>1400</v>
      </c>
      <c r="C18" s="7">
        <f>-B18*2%*5</f>
        <v>-140</v>
      </c>
      <c r="D18" s="8">
        <f>-B18*2%*10</f>
        <v>-280</v>
      </c>
      <c r="E18" s="163" t="s">
        <v>167</v>
      </c>
      <c r="F18" s="9">
        <f>-B18*2%*10</f>
        <v>-280</v>
      </c>
      <c r="G18" s="164">
        <f>B18+C18</f>
        <v>1260</v>
      </c>
      <c r="H18" s="165">
        <f>B18+D18</f>
        <v>1120</v>
      </c>
      <c r="I18" s="166">
        <f>B18+F18</f>
        <v>1120</v>
      </c>
      <c r="J18" s="167">
        <f>B18+C18+F18</f>
        <v>980</v>
      </c>
    </row>
    <row r="19" spans="1:11" x14ac:dyDescent="0.25">
      <c r="A19" s="153" t="s">
        <v>163</v>
      </c>
      <c r="B19" s="150">
        <v>3000</v>
      </c>
      <c r="C19" s="10">
        <f>-B19*2%*5</f>
        <v>-300</v>
      </c>
      <c r="D19" s="6">
        <f>-B19*2%*10</f>
        <v>-600</v>
      </c>
      <c r="E19" s="140" t="s">
        <v>167</v>
      </c>
      <c r="F19" s="11">
        <f>-B19*2%*10</f>
        <v>-600</v>
      </c>
      <c r="G19" s="143">
        <f t="shared" ref="G19:G20" si="3">B19+C19</f>
        <v>2700</v>
      </c>
      <c r="H19" s="141">
        <f t="shared" ref="H19:H20" si="4">B19+D19</f>
        <v>2400</v>
      </c>
      <c r="I19" s="142">
        <f t="shared" ref="I19:I20" si="5">B19+F19</f>
        <v>2400</v>
      </c>
      <c r="J19" s="144">
        <f t="shared" ref="J19:J20" si="6">B19+C19+F19</f>
        <v>2100</v>
      </c>
    </row>
    <row r="20" spans="1:11" ht="15.75" thickBot="1" x14ac:dyDescent="0.3">
      <c r="A20" s="154" t="s">
        <v>165</v>
      </c>
      <c r="B20" s="151">
        <v>2500</v>
      </c>
      <c r="C20" s="12">
        <f>-B20*2%*5</f>
        <v>-250</v>
      </c>
      <c r="D20" s="13">
        <f>-B20*2%*10</f>
        <v>-500</v>
      </c>
      <c r="E20" s="149" t="s">
        <v>167</v>
      </c>
      <c r="F20" s="14">
        <f>-B20*2%*10</f>
        <v>-500</v>
      </c>
      <c r="G20" s="145">
        <f t="shared" si="3"/>
        <v>2250</v>
      </c>
      <c r="H20" s="146">
        <f t="shared" si="4"/>
        <v>2000</v>
      </c>
      <c r="I20" s="147">
        <f t="shared" si="5"/>
        <v>2000</v>
      </c>
      <c r="J20" s="148">
        <f t="shared" si="6"/>
        <v>1750</v>
      </c>
    </row>
    <row r="23" spans="1:11" x14ac:dyDescent="0.25">
      <c r="B23" t="s">
        <v>176</v>
      </c>
    </row>
    <row r="24" spans="1:11" x14ac:dyDescent="0.25">
      <c r="B24" t="s">
        <v>177</v>
      </c>
    </row>
    <row r="25" spans="1:11" x14ac:dyDescent="0.25">
      <c r="C25" t="s">
        <v>180</v>
      </c>
      <c r="G25" s="178" t="s">
        <v>178</v>
      </c>
      <c r="H25" t="s">
        <v>179</v>
      </c>
      <c r="J25">
        <f>-2%*1400*5</f>
        <v>-140</v>
      </c>
      <c r="K25" t="s">
        <v>0</v>
      </c>
    </row>
    <row r="27" spans="1:11" x14ac:dyDescent="0.25">
      <c r="B27" t="s">
        <v>181</v>
      </c>
    </row>
    <row r="28" spans="1:11" x14ac:dyDescent="0.25">
      <c r="C28" t="s">
        <v>182</v>
      </c>
    </row>
    <row r="29" spans="1:11" x14ac:dyDescent="0.25">
      <c r="C29" t="s">
        <v>183</v>
      </c>
      <c r="D29" t="s">
        <v>184</v>
      </c>
      <c r="E29">
        <f>2*5</f>
        <v>10</v>
      </c>
      <c r="F29" t="s">
        <v>185</v>
      </c>
    </row>
    <row r="30" spans="1:11" x14ac:dyDescent="0.25">
      <c r="E30" t="s">
        <v>186</v>
      </c>
      <c r="H30" t="s">
        <v>187</v>
      </c>
      <c r="J30">
        <f>-2%*1400*10</f>
        <v>-280</v>
      </c>
      <c r="K30" t="s">
        <v>0</v>
      </c>
    </row>
  </sheetData>
  <mergeCells count="3">
    <mergeCell ref="C16:F16"/>
    <mergeCell ref="A1:E1"/>
    <mergeCell ref="A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42C101280E734CB53B109F9CD3BBBE" ma:contentTypeVersion="0" ma:contentTypeDescription="Create a new document." ma:contentTypeScope="" ma:versionID="7f4910abbca697815a8ce2a822adad84">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3B9C881-54AF-49DC-B7D4-E03B6A04881F}">
  <ds:schemaRefs>
    <ds:schemaRef ds:uri="http://schemas.microsoft.com/sharepoint/v3/contenttype/forms"/>
  </ds:schemaRefs>
</ds:datastoreItem>
</file>

<file path=customXml/itemProps2.xml><?xml version="1.0" encoding="utf-8"?>
<ds:datastoreItem xmlns:ds="http://schemas.openxmlformats.org/officeDocument/2006/customXml" ds:itemID="{057C16F9-B4AB-45BA-9B94-7E8D77FB8E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3DA79EB-F7A1-4338-8AC8-D9B48F0FDEC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VSP 8608 Chassis</vt:lpstr>
      <vt:lpstr>Optics and DACs</vt:lpstr>
      <vt:lpstr>Board Power</vt:lpstr>
      <vt:lpstr>Introduction!OLE_LINK1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2019-10-15T13:58:16Z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0x010100FC42C101280E734CB53B109F9CD3BBBE</vt:lpwstr>
  </property>
</Properties>
</file>